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INTERNATIONAL MEN'S RUGBY/2020/"/>
    </mc:Choice>
  </mc:AlternateContent>
  <xr:revisionPtr revIDLastSave="4303" documentId="13_ncr:1_{22806465-2FAD-4EF8-83EB-088257F674A8}" xr6:coauthVersionLast="47" xr6:coauthVersionMax="47" xr10:uidLastSave="{79FB5802-A58F-4C31-91C7-0C933B0BFBE3}"/>
  <bookViews>
    <workbookView xWindow="-26192" yWindow="747" windowWidth="26301" windowHeight="14169" tabRatio="949" activeTab="11" xr2:uid="{00000000-000D-0000-FFFF-FFFF00000000}"/>
  </bookViews>
  <sheets>
    <sheet name="Sum" sheetId="41" r:id="rId1"/>
    <sheet name="Results" sheetId="34" r:id="rId2"/>
    <sheet name="6N Tab" sheetId="31" r:id="rId3"/>
    <sheet name="6N Res" sheetId="33" r:id="rId4"/>
    <sheet name="6N Cds" sheetId="32" r:id="rId5"/>
    <sheet name="ANC Tab" sheetId="42" r:id="rId6"/>
    <sheet name="ANC Res" sheetId="43" r:id="rId7"/>
    <sheet name="ANC Cds" sheetId="44" r:id="rId8"/>
    <sheet name="ARG" sheetId="9" r:id="rId9"/>
    <sheet name="AUS" sheetId="10" r:id="rId10"/>
    <sheet name="CAN" sheetId="14" r:id="rId11"/>
    <sheet name="ENG" sheetId="11" r:id="rId12"/>
    <sheet name="FRA" sheetId="13" r:id="rId13"/>
    <sheet name="FIJ" sheetId="12" r:id="rId14"/>
    <sheet name="GEO" sheetId="20" r:id="rId15"/>
    <sheet name="IRE" sheetId="16" r:id="rId16"/>
    <sheet name="ITA" sheetId="17" r:id="rId17"/>
    <sheet name="JPN" sheetId="18" r:id="rId18"/>
    <sheet name="NAM" sheetId="35" r:id="rId19"/>
    <sheet name="NZL" sheetId="15" r:id="rId20"/>
    <sheet name="ROM" sheetId="23" r:id="rId21"/>
    <sheet name="RUS" sheetId="36" r:id="rId22"/>
    <sheet name="SAM" sheetId="24" r:id="rId23"/>
    <sheet name="SCO" sheetId="25" r:id="rId24"/>
    <sheet name="RSA" sheetId="26" r:id="rId25"/>
    <sheet name="TGA" sheetId="27" r:id="rId26"/>
    <sheet name="USA" sheetId="28" r:id="rId27"/>
    <sheet name="URU" sheetId="29" r:id="rId28"/>
    <sheet name="WAL" sheetId="30" r:id="rId29"/>
  </sheets>
  <externalReferences>
    <externalReference r:id="rId30"/>
    <externalReference r:id="rId31"/>
    <externalReference r:id="rId32"/>
  </externalReferences>
  <definedNames>
    <definedName name="alltestshistlost">Sum!$D$13</definedName>
    <definedName name="alltestshistwon">Sum!$C$13</definedName>
    <definedName name="arg2019dg">ARG!$L$8</definedName>
    <definedName name="arg2019drawn">ARG!$AA$8</definedName>
    <definedName name="arg2019lost">ARG!$AB$8</definedName>
    <definedName name="arg2019played">ARG!$Y$8</definedName>
    <definedName name="arg2019ptsconc">ARG!$G$8</definedName>
    <definedName name="arg2019ptsscored">ARG!$F$8</definedName>
    <definedName name="arg2019rwcdrawn">ARG!#REF!</definedName>
    <definedName name="arg2019rwclost">ARG!#REF!</definedName>
    <definedName name="arg2019rwcplayed">ARG!#REF!</definedName>
    <definedName name="arg2019rwcptsconc">ARG!#REF!</definedName>
    <definedName name="arg2019rwcptsscored">ARG!#REF!</definedName>
    <definedName name="arg2019rwcrc">ARG!#REF!</definedName>
    <definedName name="arg2019rwctriesconc">ARG!#REF!</definedName>
    <definedName name="arg2019rwctriesscored">ARG!#REF!</definedName>
    <definedName name="arg2019rwcwon">ARG!#REF!</definedName>
    <definedName name="arg2019rwcyc">ARG!#REF!</definedName>
    <definedName name="arg2019triesconc">ARG!$R$8</definedName>
    <definedName name="arg2019triesscored">ARG!$J$8</definedName>
    <definedName name="arg2019won">ARG!$Z$8</definedName>
    <definedName name="Argentinaalltestsdrawn">Sum!$E$3</definedName>
    <definedName name="Argentinaalltestslost">Sum!$D$3</definedName>
    <definedName name="Argentinaalltestsplayed">Sum!$B$3</definedName>
    <definedName name="Argentinaalltestsptsagainst">Sum!$H$3</definedName>
    <definedName name="Argentinaalltestsptsscored">Sum!$G$3</definedName>
    <definedName name="Argentinaallteststriesscored">Sum!$I$3</definedName>
    <definedName name="Argentinaalltestswon">Sum!$C$3</definedName>
    <definedName name="ArgentinaWChistdrawn">Sum!$E$28</definedName>
    <definedName name="ArgentinaWChistlost">Sum!$D$28</definedName>
    <definedName name="ArgentinaWChistplayed">Sum!$B$28</definedName>
    <definedName name="ArgentinaWChistptsagainst">Sum!$H$28</definedName>
    <definedName name="ArgentinaWChistptsscored">Sum!$G$28</definedName>
    <definedName name="ArgentinaWChisttriesscored">Sum!$I$28</definedName>
    <definedName name="ArgentinaWChistwon">Sum!$C$28</definedName>
    <definedName name="argoveralllb">ARG!#REF!</definedName>
    <definedName name="argoverallptsag">ARG!#REF!</definedName>
    <definedName name="argoverallptsfor">ARG!#REF!</definedName>
    <definedName name="argoverallreds">ARG!#REF!</definedName>
    <definedName name="argoveralltb">ARG!#REF!</definedName>
    <definedName name="argoveralltbcon">ARG!#REF!</definedName>
    <definedName name="argoveralltries">ARG!#REF!</definedName>
    <definedName name="argoveralltriescon">ARG!#REF!</definedName>
    <definedName name="argoverallyellows">ARG!#REF!</definedName>
    <definedName name="ArgPool2019drawn">ARG!#REF!</definedName>
    <definedName name="ArgPool2019lost">ARG!#REF!</definedName>
    <definedName name="ArgPool2019won">ARG!#REF!</definedName>
    <definedName name="ArgPoolagainst">ARG!#REF!</definedName>
    <definedName name="Argpooldrawn">ARG!#REF!</definedName>
    <definedName name="ArgPoolfor">ARG!#REF!</definedName>
    <definedName name="Argpoollb">ARG!#REF!</definedName>
    <definedName name="ArgPoollbfor">ARG!#REF!</definedName>
    <definedName name="argpoollbscored">ARG!#REF!</definedName>
    <definedName name="Argpoollost">ARG!#REF!</definedName>
    <definedName name="ArgPoolplayed">ARG!#REF!</definedName>
    <definedName name="Argpoolpld">ARG!#REF!</definedName>
    <definedName name="Argpoolptsag">ARG!#REF!</definedName>
    <definedName name="Argpoolreds">ARG!#REF!</definedName>
    <definedName name="Argpooltb">ARG!#REF!</definedName>
    <definedName name="ArgPooltbagainst">ARG!#REF!</definedName>
    <definedName name="Argpooltbcon">ARG!#REF!</definedName>
    <definedName name="ArgPooltbfor">ARG!#REF!</definedName>
    <definedName name="argpooltbscored">ARG!#REF!</definedName>
    <definedName name="ArgPooltriesagainst">ARG!#REF!</definedName>
    <definedName name="Argpooltriescon">ARG!#REF!</definedName>
    <definedName name="argpooltriesconcorrect">ARG!#REF!</definedName>
    <definedName name="Argpooltriesfor">ARG!#REF!</definedName>
    <definedName name="ArgPooltriesscored">ARG!#REF!</definedName>
    <definedName name="argpooltriesscoredcorrect">ARG!#REF!</definedName>
    <definedName name="Argpoolwon">ARG!#REF!</definedName>
    <definedName name="Argpoolyellows">ARG!#REF!</definedName>
    <definedName name="Argptsfor">ARG!#REF!</definedName>
    <definedName name="Aus2019pooldrawn">AUS!#REF!</definedName>
    <definedName name="Aus2019poollbcon">AUS!#REF!</definedName>
    <definedName name="Aus2019poollbscored">AUS!#REF!</definedName>
    <definedName name="Aus2019poollost">AUS!#REF!</definedName>
    <definedName name="Aus2019poolplayed">AUS!#REF!</definedName>
    <definedName name="Aus2019poolptsagainst">AUS!#REF!</definedName>
    <definedName name="Aus2019poolptsscored">AUS!#REF!</definedName>
    <definedName name="Aus2019pooltbcon">AUS!#REF!</definedName>
    <definedName name="Aus2019pooltbscored">AUS!#REF!</definedName>
    <definedName name="Aus2019pooltriesconc">AUS!#REF!</definedName>
    <definedName name="Aus2019pooltriesscored">AUS!#REF!</definedName>
    <definedName name="Aus2019poolwon">AUS!#REF!</definedName>
    <definedName name="Aus2019rwcdrawn">AUS!#REF!</definedName>
    <definedName name="Aus2019rwclost">AUS!#REF!</definedName>
    <definedName name="Aus2019rwclostcorrect">AUS!#REF!</definedName>
    <definedName name="Aus2019rwcplayed">AUS!#REF!</definedName>
    <definedName name="Aus2019rwcptsagainst">AUS!#REF!</definedName>
    <definedName name="Aus2019rwcptsscored">AUS!#REF!</definedName>
    <definedName name="Aus2019rwcrc">AUS!#REF!</definedName>
    <definedName name="Aus2019rwctriesconc">AUS!#REF!</definedName>
    <definedName name="Aus2019rwctriesscored">AUS!#REF!</definedName>
    <definedName name="Aus2019rwcwon">AUS!#REF!</definedName>
    <definedName name="Aus2019rwcyc">AUS!#REF!</definedName>
    <definedName name="ausbp">AUS!#REF!</definedName>
    <definedName name="ausd">AUS!#REF!</definedName>
    <definedName name="ausl">AUS!#REF!</definedName>
    <definedName name="auslb">AUS!#REF!</definedName>
    <definedName name="auslbcon">AUS!#REF!</definedName>
    <definedName name="ausoveralldrawn">AUS!#REF!</definedName>
    <definedName name="ausoveralllost">AUS!#REF!</definedName>
    <definedName name="ausoverallpld">AUS!#REF!</definedName>
    <definedName name="ausoverallptsaga">AUS!#REF!</definedName>
    <definedName name="ausoverallptsfor">AUS!#REF!</definedName>
    <definedName name="ausoveralltriescon">AUS!#REF!</definedName>
    <definedName name="ausoveralltriesscored">AUS!#REF!</definedName>
    <definedName name="ausoverallwon">AUS!#REF!</definedName>
    <definedName name="auspl">AUS!#REF!</definedName>
    <definedName name="auspooldrawn">AUS!#REF!</definedName>
    <definedName name="auspoollb">AUS!#REF!</definedName>
    <definedName name="auspoollost">AUS!#REF!</definedName>
    <definedName name="auspoolpld">AUS!#REF!</definedName>
    <definedName name="auspoolptsag">AUS!#REF!</definedName>
    <definedName name="auspoolptsfor">AUS!#REF!</definedName>
    <definedName name="auspooltb">AUS!#REF!</definedName>
    <definedName name="auspooltriescon">AUS!#REF!</definedName>
    <definedName name="auspooltriesscored">AUS!#REF!</definedName>
    <definedName name="auspoolwon">AUS!#REF!</definedName>
    <definedName name="ausptsa">AUS!#REF!</definedName>
    <definedName name="ausptsf">AUS!#REF!</definedName>
    <definedName name="ausred">AUS!#REF!</definedName>
    <definedName name="austb">AUS!#REF!</definedName>
    <definedName name="austbcon">AUS!#REF!</definedName>
    <definedName name="austra">AUS!#REF!</definedName>
    <definedName name="australiaalltests2019drawn">AUS!$AA$11</definedName>
    <definedName name="australiaalltests2019lost">AUS!$AB$11</definedName>
    <definedName name="australiaalltests2019played">AUS!$F$11</definedName>
    <definedName name="australiaalltests2019playedcorrect">AUS!$Y$11</definedName>
    <definedName name="australiaalltests2019ptsagainst">AUS!$G$11</definedName>
    <definedName name="australiaalltests2019ptsscored">AUS!$F$11</definedName>
    <definedName name="australiaalltests2019triesconc">AUS!$R$11</definedName>
    <definedName name="australiaalltests2019triesscored">AUS!$J$11</definedName>
    <definedName name="australiaalltests2019won">AUS!$Z$11</definedName>
    <definedName name="Australiaalltestshistdrawn">Sum!$E$4</definedName>
    <definedName name="Australiaalltestshistlost">Sum!$D$4</definedName>
    <definedName name="Australiaalltestshistplayed">Sum!$B$4</definedName>
    <definedName name="Australiaalltestshistptsagainst">Sum!$H$4</definedName>
    <definedName name="Australiaalltestshistptsscored">Sum!$G$4</definedName>
    <definedName name="Australiaalltestshisttriesscored">Sum!$I$4</definedName>
    <definedName name="Australiaalltestshistwon">Sum!$C$4</definedName>
    <definedName name="AustraliaWChistdrawn">Sum!$E$29</definedName>
    <definedName name="AustraliaWChistlost">Sum!$D$29</definedName>
    <definedName name="AustraliaWChistplayed">Sum!$B$29</definedName>
    <definedName name="AustraliaWChistptsagainst">Sum!$H$29</definedName>
    <definedName name="AustraliaWChistptsscored">Sum!$G$29</definedName>
    <definedName name="AustraliaWChisttriesscored">Sum!$I$29</definedName>
    <definedName name="AustraliaWChistwon">Sum!$C$29</definedName>
    <definedName name="austrf">AUS!#REF!</definedName>
    <definedName name="auswon">AUS!#REF!</definedName>
    <definedName name="ausyellow">AUS!#REF!</definedName>
    <definedName name="bathbonus">ARG!#REF!</definedName>
    <definedName name="bathbonusccorrect">ARG!#REF!</definedName>
    <definedName name="bathconceded">ARG!#REF!</definedName>
    <definedName name="bathdrawn">ARG!#REF!</definedName>
    <definedName name="bathdropgoals">ARG!#REF!</definedName>
    <definedName name="bathlost">ARG!#REF!</definedName>
    <definedName name="bathpld">ARG!#REF!</definedName>
    <definedName name="bathpodrawn">ARG!#REF!</definedName>
    <definedName name="bathpolost">ARG!#REF!</definedName>
    <definedName name="bathpopld">ARG!#REF!</definedName>
    <definedName name="bathpoptsconceded">ARG!#REF!</definedName>
    <definedName name="bathpoptsscored">ARG!#REF!</definedName>
    <definedName name="bathpored">ARG!#REF!</definedName>
    <definedName name="bathpotriesconceded">ARG!#REF!</definedName>
    <definedName name="bathpotriesscored">ARG!#REF!</definedName>
    <definedName name="bathpowon">ARG!#REF!</definedName>
    <definedName name="bathpoyellow">ARG!#REF!</definedName>
    <definedName name="bathred">ARG!#REF!</definedName>
    <definedName name="bathscored">ARG!#REF!</definedName>
    <definedName name="bathtriesconceded">ARG!#REF!</definedName>
    <definedName name="bathtriesscored">ARG!#REF!</definedName>
    <definedName name="bathtrybonus">ARG!#REF!</definedName>
    <definedName name="bathtrybonusconceded">ARG!#REF!</definedName>
    <definedName name="bathwon">ARG!#REF!</definedName>
    <definedName name="bathyellow">ARG!#REF!</definedName>
    <definedName name="Bristolpremseasontotalsdgs">[1]BRI!$L$38</definedName>
    <definedName name="Bristolpremseasontotalsdrawn">[1]BRI!$AA$38</definedName>
    <definedName name="Bristolpremseasontotalslost">[1]BRI!$AB$38</definedName>
    <definedName name="Bristolpremseasontotalsplayed">[1]BRI!$Y$38</definedName>
    <definedName name="Bristolpremseasontotalsptsagainst">[1]BRI!$G$38</definedName>
    <definedName name="Bristolpremseasontotalsptsscored">[1]BRI!$F$38</definedName>
    <definedName name="BristolpremseasontotalsRC">[1]BRI!$O$38</definedName>
    <definedName name="Bristolpremseasontotalstriesconceded">[1]BRI!$R$38</definedName>
    <definedName name="Bristolpremseasontotalstriesscored">[1]BRI!$J$38</definedName>
    <definedName name="Bristolpremseasontotalswon">[1]BRI!$Z$38</definedName>
    <definedName name="BristolpremseasontotalsYC">[1]BRI!$N$38</definedName>
    <definedName name="bstred">[2]BRI!$O$35</definedName>
    <definedName name="bsttrybonusconceded">[1]BRI!$P$36</definedName>
    <definedName name="bsttrybonusscored">[1]BRI!$H$36</definedName>
    <definedName name="bstyellow">[2]BRI!$N$35</definedName>
    <definedName name="Bthhistagainst">[1]Sum!$H$3</definedName>
    <definedName name="Bthhistdrawn">[1]Sum!$E$3</definedName>
    <definedName name="Bthhistfor">[1]Sum!$G$3</definedName>
    <definedName name="Bthhistlost">[1]Sum!$D$3</definedName>
    <definedName name="Bthhistplayed">[1]Sum!$B$3</definedName>
    <definedName name="Bthhisttriesscored">[1]Sum!$J$3</definedName>
    <definedName name="Bthhistwon">[1]Sum!$C$3</definedName>
    <definedName name="bthpremseasontotalsdgs">[1]BTH!$L$37</definedName>
    <definedName name="bthpremseasontotalslost">[1]BTH!$AB$37</definedName>
    <definedName name="bthpremseasontotalsplayed">[1]BTH!$Y$37</definedName>
    <definedName name="bthpremseasontotalsptsagainst">[1]BTH!$G$37</definedName>
    <definedName name="bthpremseasontotalsptsscored">[1]BTH!$F$37</definedName>
    <definedName name="bthpremseasontotalsRC">[1]BTH!$O$37</definedName>
    <definedName name="bthpremseasontotalstriesconceded">[1]BTH!$R$37</definedName>
    <definedName name="bthpremseasontotalstriesscored">[1]BTH!$J$37</definedName>
    <definedName name="bthpremseasontotalswon">[1]BTH!$Y$37</definedName>
    <definedName name="bthpremseasontotalsYC">[1]BTH!$N$37</definedName>
    <definedName name="can2019alltestsdrawn">CAN!$AA$17</definedName>
    <definedName name="can2019alltestslost">CAN!$AB$17</definedName>
    <definedName name="can2019alltestsplayed">CAN!$Y$17</definedName>
    <definedName name="can2019alltestsptsagainst">CAN!$G$17</definedName>
    <definedName name="can2019alltestsptsscored">CAN!$F$17</definedName>
    <definedName name="can2019allteststriescon">CAN!$R$17</definedName>
    <definedName name="can2019allteststriesscored">CAN!$J$17</definedName>
    <definedName name="can2019alltestswon">CAN!$Z$17</definedName>
    <definedName name="can2019pooldrawn">CAN!#REF!</definedName>
    <definedName name="can2019poollbcon">CAN!#REF!</definedName>
    <definedName name="can2019poollbscored">CAN!#REF!</definedName>
    <definedName name="can2019poollost">CAN!#REF!</definedName>
    <definedName name="can2019poolplayed">CAN!#REF!</definedName>
    <definedName name="can2019poolptsagainst">CAN!#REF!</definedName>
    <definedName name="can2019poolptsscored">CAN!#REF!</definedName>
    <definedName name="can2019pooltbcon">CAN!#REF!</definedName>
    <definedName name="can2019pooltbscored">CAN!#REF!</definedName>
    <definedName name="can2019pooltriescon">CAN!#REF!</definedName>
    <definedName name="can2019pooltriesscored">CAN!#REF!</definedName>
    <definedName name="can2019pooltriesscoredcorrect">CAN!#REF!</definedName>
    <definedName name="can2019poolwon">CAN!#REF!</definedName>
    <definedName name="can2019rwcdrawn">CAN!#REF!</definedName>
    <definedName name="can2019rwclost">CAN!#REF!</definedName>
    <definedName name="can2019rwcplayed">CAN!#REF!</definedName>
    <definedName name="can2019rwcptsagainst">CAN!#REF!</definedName>
    <definedName name="can2019rwcptsscored">CAN!#REF!</definedName>
    <definedName name="can2019rwcrc">CAN!#REF!</definedName>
    <definedName name="can2019rwctriescon">CAN!#REF!</definedName>
    <definedName name="can2019rwctriesscored">CAN!#REF!</definedName>
    <definedName name="can2019rwcwon">CAN!#REF!</definedName>
    <definedName name="can2019rwcyc">CAN!#REF!</definedName>
    <definedName name="Canadaalltestshistdrawn">Sum!$E$5</definedName>
    <definedName name="Canadaalltestshistlost">Sum!$D$5</definedName>
    <definedName name="Canadaalltestshistplayed">Sum!$B$5</definedName>
    <definedName name="Canadaalltestshistptsagainst">Sum!$H$5</definedName>
    <definedName name="Canadaalltestshistptsscored">Sum!$G$5</definedName>
    <definedName name="Canadaalltestshisttriesscored">Sum!$I$5</definedName>
    <definedName name="Canadaalltestshistwon">Sum!$C$5</definedName>
    <definedName name="CanadaRWChistdrawn">Sum!$E$30</definedName>
    <definedName name="CanadaRWChistlost">Sum!$D$30</definedName>
    <definedName name="CanadaRWChistplayed">Sum!$B$30</definedName>
    <definedName name="CanadaRWChistptsagainst">Sum!$H$30</definedName>
    <definedName name="CanadaRWChistptsscored">Sum!$G$30</definedName>
    <definedName name="CanadaRWChisttriesscored">Sum!$I$30</definedName>
    <definedName name="CanadaRWChistwon">Sum!$C$30</definedName>
    <definedName name="canlb">CAN!#REF!</definedName>
    <definedName name="canlbcon">CAN!#REF!</definedName>
    <definedName name="canoveralldrwn">CAN!#REF!</definedName>
    <definedName name="canoveralllost">CAN!#REF!</definedName>
    <definedName name="canoverallpld">CAN!#REF!</definedName>
    <definedName name="canoverallptsag">CAN!#REF!</definedName>
    <definedName name="canoverallptsscored">CAN!#REF!</definedName>
    <definedName name="canoveralltriescon">CAN!#REF!</definedName>
    <definedName name="canoveralltriesscored">CAN!#REF!</definedName>
    <definedName name="canoverallwon">CAN!#REF!</definedName>
    <definedName name="canpooldrawn">CAN!#REF!</definedName>
    <definedName name="canpoollost">CAN!#REF!</definedName>
    <definedName name="canpoolpld">CAN!#REF!</definedName>
    <definedName name="canpoolptsag">CAN!#REF!</definedName>
    <definedName name="canpoolptsscored">CAN!#REF!</definedName>
    <definedName name="canpooltriescon">CAN!#REF!</definedName>
    <definedName name="canpooltriesscored">CAN!#REF!</definedName>
    <definedName name="canpoolwoin">CAN!#REF!</definedName>
    <definedName name="canred">CAN!#REF!</definedName>
    <definedName name="cantb">CAN!#REF!</definedName>
    <definedName name="cantbcon">CAN!#REF!</definedName>
    <definedName name="canyellow">CAN!#REF!</definedName>
    <definedName name="drawn">NZL!$AA$11</definedName>
    <definedName name="Eng2019alltestsdrawn">ENG!$AA$14</definedName>
    <definedName name="Eng2019alltestslost">ENG!$AB$14</definedName>
    <definedName name="Eng2019alltestsplayed">ENG!$Y$14</definedName>
    <definedName name="Eng2019alltestsptsagainst">ENG!$G$14</definedName>
    <definedName name="Eng2019alltestsptsscored">ENG!$F$14</definedName>
    <definedName name="Eng2019allteststriescon">ENG!$R$14</definedName>
    <definedName name="Eng2019allteststriesscored">ENG!$J$14</definedName>
    <definedName name="Eng2019alltestswon">ENG!$Z$14</definedName>
    <definedName name="Eng2019pooldrawn">ENG!#REF!</definedName>
    <definedName name="Eng2019poollbcon">ENG!#REF!</definedName>
    <definedName name="Eng2019poollbscored">ENG!#REF!</definedName>
    <definedName name="Eng2019poollost">ENG!#REF!</definedName>
    <definedName name="Eng2019poolplayed">ENG!#REF!</definedName>
    <definedName name="Eng2019poolptsagainst">ENG!#REF!</definedName>
    <definedName name="Eng2019poolptsscored">ENG!#REF!</definedName>
    <definedName name="Eng2019pooltbcon">ENG!#REF!</definedName>
    <definedName name="Eng2019pooltbscored">ENG!#REF!</definedName>
    <definedName name="Eng2019pooltriescon">ENG!#REF!</definedName>
    <definedName name="Eng2019pooltriesscored">ENG!#REF!</definedName>
    <definedName name="Eng2019poolwon">ENG!#REF!</definedName>
    <definedName name="Eng2019RWCdrawn">ENG!#REF!</definedName>
    <definedName name="Eng2019RWClost">ENG!#REF!</definedName>
    <definedName name="Eng2019RWCplayed">ENG!#REF!</definedName>
    <definedName name="Eng2019RWCptsagainst">ENG!#REF!</definedName>
    <definedName name="Eng2019RWCptsscored">ENG!#REF!</definedName>
    <definedName name="Eng2019RWCrc">ENG!#REF!</definedName>
    <definedName name="Eng2019RWCtriescon">ENG!#REF!</definedName>
    <definedName name="Eng2019RWCtriesscored">ENG!#REF!</definedName>
    <definedName name="Eng2019RWCwon">ENG!#REF!</definedName>
    <definedName name="Eng2019RWCyc">ENG!#REF!</definedName>
    <definedName name="Englandalltestshistdrawn">Sum!$E$6</definedName>
    <definedName name="Englandalltestshistlost">Sum!$D$6</definedName>
    <definedName name="Englandalltestshistplayed">Sum!$B$6</definedName>
    <definedName name="Englandalltestshistptsagainst">Sum!$H$6</definedName>
    <definedName name="Englandalltestshistptsscored">Sum!$G$6</definedName>
    <definedName name="Englandalltestshisttriesscored">Sum!$I$6</definedName>
    <definedName name="Englandalltestshistwon">Sum!$C$6</definedName>
    <definedName name="Englanddrawn">ENG!$AA$12</definedName>
    <definedName name="Englandlosingbonus">ENG!$I$12</definedName>
    <definedName name="Englandlost">ENG!$AB$12</definedName>
    <definedName name="Englandplayed">ENG!$Y$12</definedName>
    <definedName name="Englandptsagainst">ENG!$G$12</definedName>
    <definedName name="Englandptsscored">ENG!$F$12</definedName>
    <definedName name="Englandred">ENG!$O$12</definedName>
    <definedName name="EnglandRWChistdrawn">Sum!$E$31</definedName>
    <definedName name="EnglandRWChistlost">Sum!$D$31</definedName>
    <definedName name="EnglandRWChistplayed">Sum!$B$31</definedName>
    <definedName name="EnglandRWChistptsagainst">Sum!$H$31</definedName>
    <definedName name="EnglandRWChistptsscored">Sum!$G$31</definedName>
    <definedName name="EnglandRWChisttriesscored">Sum!$I$31</definedName>
    <definedName name="EnglandRWChistwon">Sum!$C$31</definedName>
    <definedName name="Englandtriesagainst">ENG!$R$12</definedName>
    <definedName name="Englandtriesscored">ENG!$J$12</definedName>
    <definedName name="Englandtrybonus">ENG!$H$12</definedName>
    <definedName name="Englandwon">ENG!$Z$12</definedName>
    <definedName name="Englandyellow">ENG!$N$12</definedName>
    <definedName name="englb">ENG!#REF!</definedName>
    <definedName name="englbcon">ENG!#REF!</definedName>
    <definedName name="engoveralldrawn">ENG!#REF!</definedName>
    <definedName name="engoveralllost">ENG!#REF!</definedName>
    <definedName name="engoverallpld">ENG!#REF!</definedName>
    <definedName name="engoverallptsag">ENG!#REF!</definedName>
    <definedName name="engoverallptsscored">ENG!#REF!</definedName>
    <definedName name="engoveralltriescon">ENG!#REF!</definedName>
    <definedName name="engoveralltriesscored">ENG!#REF!</definedName>
    <definedName name="engoverallwon">ENG!#REF!</definedName>
    <definedName name="engpooldrawn">ENG!#REF!</definedName>
    <definedName name="engpoollost">ENG!#REF!</definedName>
    <definedName name="engpoolpld">ENG!#REF!</definedName>
    <definedName name="engpoolptsag">ENG!#REF!</definedName>
    <definedName name="engpoolptsscored">ENG!#REF!</definedName>
    <definedName name="engpooltriescon">ENG!#REF!</definedName>
    <definedName name="engpooltriesscored">ENG!#REF!</definedName>
    <definedName name="engpoolwon">ENG!#REF!</definedName>
    <definedName name="engred">ENG!#REF!</definedName>
    <definedName name="engtb">ENG!#REF!</definedName>
    <definedName name="engtbcon">ENG!#REF!</definedName>
    <definedName name="engtriescon">ENG!#REF!</definedName>
    <definedName name="engyellow">ENG!#REF!</definedName>
    <definedName name="Exepremtotalsdgs">[1]EXE!$L$39</definedName>
    <definedName name="Exepremtotalslost">[1]EXE!$AB$39</definedName>
    <definedName name="Exepremtotalsplayed">[1]EXE!$Y$39</definedName>
    <definedName name="Exepremtotalsptsagainst">[1]EXE!$G$39</definedName>
    <definedName name="Exepremtotalsptsscored">[1]EXE!$F$39</definedName>
    <definedName name="Exepremtotalsrc">[1]EXE!$O$39</definedName>
    <definedName name="Exepremtotalstriesconceded">[1]EXE!$R$39</definedName>
    <definedName name="Exepremtotalstriesscored">[1]EXE!$J$39</definedName>
    <definedName name="Exepremtotalswon">[1]EXE!$Z$39</definedName>
    <definedName name="Exepremtotalsyc">[1]EXE!$N$39</definedName>
    <definedName name="exeterbonus">AUS!#REF!</definedName>
    <definedName name="exeterconceded">AUS!#REF!</definedName>
    <definedName name="exeterdrawn">AUS!#REF!</definedName>
    <definedName name="exeterlosingbonus">AUS!#REF!</definedName>
    <definedName name="exeterlosingbonusconceded">AUS!#REF!</definedName>
    <definedName name="exeterlost">AUS!#REF!</definedName>
    <definedName name="exeterpld">AUS!#REF!</definedName>
    <definedName name="exeterpremdrawn">[1]EXE!$AA$37</definedName>
    <definedName name="exeterpremred">[2]EXE!$O$39</definedName>
    <definedName name="exeterpremtrybonusconc">[1]EXE!$P$37</definedName>
    <definedName name="exeterpremtrybonusscored">[1]EXE!$H$37</definedName>
    <definedName name="exeterpremyellow">[2]EXE!$N$39</definedName>
    <definedName name="exeterred">AUS!#REF!</definedName>
    <definedName name="exeterscored">AUS!#REF!</definedName>
    <definedName name="exetertriesconceded">AUS!#REF!</definedName>
    <definedName name="exetertriesscored">AUS!#REF!</definedName>
    <definedName name="exetertrybonusconceded">AUS!#REF!</definedName>
    <definedName name="exetertrybonusscored">AUS!#REF!</definedName>
    <definedName name="exeterwon">AUS!#REF!</definedName>
    <definedName name="exeteryellow">AUS!#REF!</definedName>
    <definedName name="feapoolptsag">FRA!#REF!</definedName>
    <definedName name="Fij2019alltestsdrawn">FIJ!$AA$8</definedName>
    <definedName name="Fij2019alltestslost">FIJ!$AB$8</definedName>
    <definedName name="Fij2019alltestsplayed">FIJ!$Y$8</definedName>
    <definedName name="Fij2019alltestsptsagainst">FIJ!$G$8</definedName>
    <definedName name="Fij2019alltestsptsscored">FIJ!$F$8</definedName>
    <definedName name="Fij2019allteststriescon">FIJ!$R$8</definedName>
    <definedName name="Fij2019allteststriesscored">FIJ!$J$8</definedName>
    <definedName name="Fij2019alltestswon">FIJ!$Z$8</definedName>
    <definedName name="Fij2019pooldrawn">FIJ!#REF!</definedName>
    <definedName name="Fij2019poollbcon">FIJ!#REF!</definedName>
    <definedName name="Fij2019poollbscored">FIJ!#REF!</definedName>
    <definedName name="Fij2019poollost">FIJ!#REF!</definedName>
    <definedName name="Fij2019poolplayed">FIJ!#REF!</definedName>
    <definedName name="Fij2019poolptsagainst">FIJ!#REF!</definedName>
    <definedName name="Fij2019poolptsscored">FIJ!#REF!</definedName>
    <definedName name="Fij2019pooltbcon">FIJ!#REF!</definedName>
    <definedName name="Fij2019pooltbscored">FIJ!#REF!</definedName>
    <definedName name="Fij2019pooltriescon">FIJ!#REF!</definedName>
    <definedName name="Fij2019pooltriesscored">FIJ!#REF!</definedName>
    <definedName name="Fij2019poolwon">FIJ!#REF!</definedName>
    <definedName name="Fij2019RWCdrawn">FIJ!#REF!</definedName>
    <definedName name="Fij2019RWClost">FIJ!#REF!</definedName>
    <definedName name="Fij2019RWCplayed">FIJ!#REF!</definedName>
    <definedName name="Fij2019RWCptsagainst">FIJ!#REF!</definedName>
    <definedName name="Fij2019RWCptsscored">FIJ!#REF!</definedName>
    <definedName name="Fij2019RWCrc">FIJ!#REF!</definedName>
    <definedName name="Fij2019RWCtriescon">FIJ!#REF!</definedName>
    <definedName name="Fij2019RWCtriesscored">FIJ!#REF!</definedName>
    <definedName name="Fij2019RWCwonj">FIJ!#REF!</definedName>
    <definedName name="Fij2019RWCyc">FIJ!#REF!</definedName>
    <definedName name="Fijialltestshistdrawn">Sum!$E$7</definedName>
    <definedName name="Fijialltestshistlost">Sum!$D$7</definedName>
    <definedName name="Fijialltestshistplayed">Sum!$B$7</definedName>
    <definedName name="Fijialltestshistptsagainst">Sum!$H$7</definedName>
    <definedName name="Fijialltestshistptsscored">Sum!$G$7</definedName>
    <definedName name="Fijialltestshisttriesscored">Sum!$I$7</definedName>
    <definedName name="Fijialltestshistwon">Sum!$C$7</definedName>
    <definedName name="FijiRWChistdrawn">Sum!$E$32</definedName>
    <definedName name="FijiRWChistlost">Sum!$D$32</definedName>
    <definedName name="FijiRWChistplayed">Sum!$B$32</definedName>
    <definedName name="FijiRWChistptsagainst">Sum!$H$32</definedName>
    <definedName name="FijiRWChistptsscored">Sum!$G$32</definedName>
    <definedName name="FijiRWChisttriesscored">Sum!$I$32</definedName>
    <definedName name="FijiRWChistwon">Sum!$C$32</definedName>
    <definedName name="fijlb">FIJ!#REF!</definedName>
    <definedName name="fijlbcon">FIJ!#REF!</definedName>
    <definedName name="fijoveralldrawn">FIJ!#REF!</definedName>
    <definedName name="fijoveralllost">FIJ!#REF!</definedName>
    <definedName name="fijoverallpld">FIJ!#REF!</definedName>
    <definedName name="fijoverallptsaga">FIJ!#REF!</definedName>
    <definedName name="fijoverallptsscored">FIJ!#REF!</definedName>
    <definedName name="fijoveralltriescon">FIJ!#REF!</definedName>
    <definedName name="fijoveralltriesscored">FIJ!#REF!</definedName>
    <definedName name="fijoverallwon">FIJ!#REF!</definedName>
    <definedName name="Fijpooldrawn">FIJ!#REF!</definedName>
    <definedName name="Fijpoollost">FIJ!#REF!</definedName>
    <definedName name="Fijpoolpld">FIJ!#REF!</definedName>
    <definedName name="Fijpoolptsag">FIJ!#REF!</definedName>
    <definedName name="Fijpoolptsscored">FIJ!#REF!</definedName>
    <definedName name="Fijpooltriescon">FIJ!#REF!</definedName>
    <definedName name="Fijpooltriesscored">FIJ!#REF!</definedName>
    <definedName name="Fijpoolwon">FIJ!#REF!</definedName>
    <definedName name="fijred">FIJ!#REF!</definedName>
    <definedName name="fijtb">FIJ!#REF!</definedName>
    <definedName name="fijtbcon">FIJ!#REF!</definedName>
    <definedName name="fijyellow">FIJ!#REF!</definedName>
    <definedName name="Fra2019alltestsdrawn">FRA!$AA$16</definedName>
    <definedName name="Fra2019alltestslost">FRA!$AB$16</definedName>
    <definedName name="Fra2019alltestsplayed">FRA!$Y$16</definedName>
    <definedName name="Fra2019alltestsptsagainst">FRA!$G$16</definedName>
    <definedName name="Fra2019alltestsptsscored">FRA!$F$16</definedName>
    <definedName name="Fra2019allteststriescon">FRA!$R$16</definedName>
    <definedName name="Fra2019allteststriesscored">FRA!$J$16</definedName>
    <definedName name="Fra2019alltestswon">FRA!$Z$16</definedName>
    <definedName name="Fra2019pooldrawn">FRA!$AA$15</definedName>
    <definedName name="Fra2019poollbcon">FRA!$Q$15</definedName>
    <definedName name="Fra2019poollbscored">FRA!$I$15</definedName>
    <definedName name="Fra2019poollost">FRA!$AB$15</definedName>
    <definedName name="Fra2019poolplayed">FRA!$Y$15</definedName>
    <definedName name="Fra2019poolptsagainst">FRA!$G$15</definedName>
    <definedName name="Fra2019poolptsagaints">FRA!#REF!</definedName>
    <definedName name="Fra2019poolptsscored">FRA!$F$15</definedName>
    <definedName name="Fra2019pooltbcon">FRA!$P$15</definedName>
    <definedName name="Fra2019pooltbscored">FRA!$H$15</definedName>
    <definedName name="Fra2019pooltriescon">FRA!$R$15</definedName>
    <definedName name="Fra2019pooltriesscored">FRA!$H$15</definedName>
    <definedName name="Fra2019pooltriesscoredcorrect">FRA!$J$15</definedName>
    <definedName name="Fra2019poolwon">FRA!$Z$15</definedName>
    <definedName name="Fra2019RWCdrawn">FRA!#REF!</definedName>
    <definedName name="Fra2019RWClost">FRA!#REF!</definedName>
    <definedName name="Fra2019RWCplayed">FRA!#REF!</definedName>
    <definedName name="Fra2019RWCptsagainst">FRA!#REF!</definedName>
    <definedName name="Fra2019RWCptsscored">FRA!#REF!</definedName>
    <definedName name="Fra2019RWCrc">FRA!#REF!</definedName>
    <definedName name="Fra2019RWCtriescon">FRA!#REF!</definedName>
    <definedName name="Fra2019RWCtriesscored">FRA!#REF!</definedName>
    <definedName name="Fra2019RWCwon">FRA!#REF!</definedName>
    <definedName name="Fra2019RWCyc">FRA!#REF!</definedName>
    <definedName name="fralb">FRA!#REF!</definedName>
    <definedName name="fralbcon">FRA!#REF!</definedName>
    <definedName name="Francealltestshistdrawn">Sum!$E$8</definedName>
    <definedName name="Francealltestshistlost">Sum!$D$8</definedName>
    <definedName name="Francealltestshistplayed">Sum!$B$8</definedName>
    <definedName name="Francealltestshistptscon">Sum!$H$8</definedName>
    <definedName name="Francealltestshistptsscored">Sum!$G$8</definedName>
    <definedName name="Francealltestshisttriesscored">Sum!$I$8</definedName>
    <definedName name="Francealltestshistwon">Sum!$C$8</definedName>
    <definedName name="Francedrawn">FRA!$AA$13</definedName>
    <definedName name="Francelosingbonus">FRA!$I$13</definedName>
    <definedName name="Francelost">FRA!$AB$13</definedName>
    <definedName name="Franceplayed">FRA!$Y$13</definedName>
    <definedName name="Franceptsagainst">FRA!$G$13</definedName>
    <definedName name="Franceptsscored">FRA!$F$13</definedName>
    <definedName name="Francered">FRA!$O$13</definedName>
    <definedName name="FranceRWChistdrawn">Sum!$E$33</definedName>
    <definedName name="FranceRWChistlost">Sum!$D$33</definedName>
    <definedName name="FranceRWChistplayed">Sum!$B$33</definedName>
    <definedName name="FranceRWChistptsagainst">Sum!$H$33</definedName>
    <definedName name="FranceRWChistptsscored">Sum!$G$33</definedName>
    <definedName name="FranceRWChisttriesscored">Sum!$I$33</definedName>
    <definedName name="FranceRWChistwon">Sum!$C$33</definedName>
    <definedName name="Francetriesagainst">FRA!$R$13</definedName>
    <definedName name="Francetriesscored">FRA!$J$13</definedName>
    <definedName name="Francetrybonus">FRA!$H$13</definedName>
    <definedName name="Francewon">FRA!$Z$13</definedName>
    <definedName name="FRanceyellow">FRA!$N$13</definedName>
    <definedName name="fraoveralldrawn">FRA!#REF!</definedName>
    <definedName name="fraoveralllost">FRA!#REF!</definedName>
    <definedName name="fraoverallpld">FRA!#REF!</definedName>
    <definedName name="fraoverallptsag">FRA!#REF!</definedName>
    <definedName name="fraoverallptsscored">FRA!#REF!</definedName>
    <definedName name="fraoveralltriescon">FRA!#REF!</definedName>
    <definedName name="fraoveralltriesscored">FRA!#REF!</definedName>
    <definedName name="fraoverallwon">FRA!#REF!</definedName>
    <definedName name="frapooldrawn">FRA!#REF!</definedName>
    <definedName name="frapoollost">FRA!#REF!</definedName>
    <definedName name="frapoolpld">FRA!#REF!</definedName>
    <definedName name="frapoolptsscored">FRA!#REF!</definedName>
    <definedName name="frapooltriescon">FRA!#REF!</definedName>
    <definedName name="frapooltriesscored">FRA!#REF!</definedName>
    <definedName name="frapoolwon">FRA!#REF!</definedName>
    <definedName name="frared">FRA!#REF!</definedName>
    <definedName name="fratb">FRA!#REF!</definedName>
    <definedName name="fratbcon">FRA!#REF!</definedName>
    <definedName name="frayellow">FRA!#REF!</definedName>
    <definedName name="g">[3]SAR!$AB$36</definedName>
    <definedName name="Geo2019alltestsdrawn">GEO!$AA$15</definedName>
    <definedName name="Geo2019alltestslost">GEO!$AB$15</definedName>
    <definedName name="Geo2019alltestsplayed">GEO!$Y$15</definedName>
    <definedName name="Geo2019alltestsptsagainst">GEO!$G$15</definedName>
    <definedName name="Geo2019alltestsptsscored">GEO!$F$15</definedName>
    <definedName name="Geo2019allteststriesconceded">GEO!$R$15</definedName>
    <definedName name="Geo2019allteststriesscored">GEO!$J$15</definedName>
    <definedName name="Geo2019alltestswon">GEO!$Z$15</definedName>
    <definedName name="Geo2019pooldrawn">GEO!#REF!</definedName>
    <definedName name="Geo2019poollbcon">GEO!#REF!</definedName>
    <definedName name="Geo2019poollbscored">GEO!#REF!</definedName>
    <definedName name="Geo2019poollost">GEO!#REF!</definedName>
    <definedName name="Geo2019poolplayed">GEO!#REF!</definedName>
    <definedName name="Geo2019poolptsagainst">GEO!#REF!</definedName>
    <definedName name="Geo2019poolptsscored">GEO!#REF!</definedName>
    <definedName name="Geo2019pooltbcon">GEO!#REF!</definedName>
    <definedName name="Geo2019pooltbscored">GEO!#REF!</definedName>
    <definedName name="Geo2019pooltriescon">GEO!#REF!</definedName>
    <definedName name="Geo2019pooltriesscored">GEO!#REF!</definedName>
    <definedName name="Geo2019poolwon">GEO!#REF!</definedName>
    <definedName name="Geo2019RWCdrawn">GEO!#REF!</definedName>
    <definedName name="Geo2019RWClost">GEO!#REF!</definedName>
    <definedName name="Geo2019RWCplayed">GEO!#REF!</definedName>
    <definedName name="Geo2019RWCptsagainst">GEO!#REF!</definedName>
    <definedName name="Geo2019RWCptsscored">GEO!#REF!</definedName>
    <definedName name="Geo2019RWCrc">GEO!#REF!</definedName>
    <definedName name="Geo2019RWCtriescon">GEO!#REF!</definedName>
    <definedName name="Geo2019RWCtriesscored">GEO!#REF!</definedName>
    <definedName name="Geo2019RWCwon">GEO!#REF!</definedName>
    <definedName name="Geo2019RWCyc">GEO!#REF!</definedName>
    <definedName name="geolb">GEO!#REF!</definedName>
    <definedName name="geolbcon">GEO!#REF!</definedName>
    <definedName name="geooveralldrawn">GEO!#REF!</definedName>
    <definedName name="geooveralllost">GEO!#REF!</definedName>
    <definedName name="geooverallpld">GEO!#REF!</definedName>
    <definedName name="geooverallptsag">GEO!#REF!</definedName>
    <definedName name="geooverallptsscored">GEO!#REF!</definedName>
    <definedName name="geooveralltriescon">GEO!#REF!</definedName>
    <definedName name="geooveralltriesscored">GEO!#REF!</definedName>
    <definedName name="geooverallwon">GEO!#REF!</definedName>
    <definedName name="geopooldrawn">GEO!#REF!</definedName>
    <definedName name="geopoollost">GEO!#REF!</definedName>
    <definedName name="geopoolpld">GEO!#REF!</definedName>
    <definedName name="geopoolptsag">GEO!#REF!</definedName>
    <definedName name="geopoolptsscored">GEO!#REF!</definedName>
    <definedName name="geopooltriescon">GEO!#REF!</definedName>
    <definedName name="geopooltriesscored">GEO!#REF!</definedName>
    <definedName name="geopoolwon">GEO!#REF!</definedName>
    <definedName name="geored">GEO!#REF!</definedName>
    <definedName name="Georgiaalltestshistdrawn">Sum!$E$9</definedName>
    <definedName name="Georgiaalltestshistlost">Sum!$D$9</definedName>
    <definedName name="Georgiaalltestshistplayed">Sum!$B$9</definedName>
    <definedName name="Georgiaalltestshistptsagainst">Sum!$H$9</definedName>
    <definedName name="Georgiaalltestshistptsscored">Sum!$G$9</definedName>
    <definedName name="Georgiaalltestshisttriesscored">Sum!$I$9</definedName>
    <definedName name="Georgiaalltestshistwon">Sum!$C$9</definedName>
    <definedName name="GeorgiaRWChistdrawn">Sum!$E$34</definedName>
    <definedName name="GeorgiaRWChistlost">Sum!$D$34</definedName>
    <definedName name="GeorgiaRWChistplayed">Sum!$B$34</definedName>
    <definedName name="GeorgiaRWChistptsagainst">Sum!$H$34</definedName>
    <definedName name="GeorgiaRWChistptsscored">Sum!$G$34</definedName>
    <definedName name="GeorgiaRWChisttriesscored">Sum!$I$34</definedName>
    <definedName name="GeorgiaRWChistwon">Sum!$C$34</definedName>
    <definedName name="geotb">GEO!#REF!</definedName>
    <definedName name="geotbcon">GEO!#REF!</definedName>
    <definedName name="geoyellow">GEO!#REF!</definedName>
    <definedName name="glosbonus">ENG!#REF!</definedName>
    <definedName name="glosconceded">ENG!#REF!</definedName>
    <definedName name="glosdrawn">ENG!#REF!</definedName>
    <definedName name="gloslosingbonus">ENG!#REF!</definedName>
    <definedName name="gloslosingbonusconceded">ENG!#REF!</definedName>
    <definedName name="gloslost">ENG!#REF!</definedName>
    <definedName name="glosplayed">ENG!#REF!</definedName>
    <definedName name="glosred">ENG!#REF!</definedName>
    <definedName name="glosscored">ENG!#REF!</definedName>
    <definedName name="glostries">ENG!#REF!</definedName>
    <definedName name="glostriesconceded">ENG!#REF!</definedName>
    <definedName name="glostrybonus">ENG!#REF!</definedName>
    <definedName name="glostrybonusconceded">ENG!#REF!</definedName>
    <definedName name="gloswon">ENG!#REF!</definedName>
    <definedName name="glosyellow">ENG!#REF!</definedName>
    <definedName name="gloucesterpremred">[2]GLO!$O$40</definedName>
    <definedName name="gloucesterpremseasontotalsdgs">[1]GLO!$L$38</definedName>
    <definedName name="gloucesterpremseasontotalsdrawn">[1]GLO!$AA$38</definedName>
    <definedName name="gloucesterpremseasontotalslost">[1]GLO!$AB$38</definedName>
    <definedName name="gloucesterpremseasontotalsplayed">[1]GLO!$Y$38</definedName>
    <definedName name="gloucesterpremseasontotalsptsagainst">[1]GLO!$G$38</definedName>
    <definedName name="gloucesterpremseasontotalsptsscored">[1]GLO!$F$38</definedName>
    <definedName name="gloucesterpremseasontotalsRC">[1]GLO!$O$38</definedName>
    <definedName name="gloucesterpremseasontotalstriesconceded">[1]GLO!$R$38</definedName>
    <definedName name="gloucesterpremseasontotalstriesscored">[1]GLO!$J$38</definedName>
    <definedName name="gloucesterpremseasontotalswon">[1]GLO!$Z$38</definedName>
    <definedName name="gloucesterpremseasontotalsYC">[1]GLO!$N$38</definedName>
    <definedName name="gloucesterpremtrybonusconc">[1]GLO!$P$36</definedName>
    <definedName name="gloucesterpremtrybonusscored">[1]GLO!$H$36</definedName>
    <definedName name="gloucesterpremyellow">[2]GLO!$N$40</definedName>
    <definedName name="harbonus">FIJ!#REF!</definedName>
    <definedName name="harconceded">FIJ!#REF!</definedName>
    <definedName name="hardrawn">FIJ!#REF!</definedName>
    <definedName name="harlequinspremred">[2]HAR!$O$39</definedName>
    <definedName name="harlequinspremseasontotalsdgs">[1]HAR!$L$39</definedName>
    <definedName name="harlequinspremseasontotalsdrawn">[1]HAR!$AA$39</definedName>
    <definedName name="harlequinspremseasontotalslost">[1]HAR!$AB$39</definedName>
    <definedName name="harlequinspremseasontotalsplayed">[1]HAR!$Y$39</definedName>
    <definedName name="harlequinspremseasontotalsptsagainst">[1]HAR!$G$39</definedName>
    <definedName name="harlequinspremseasontotalsptsscored">[1]HAR!$F$39</definedName>
    <definedName name="harlequinspremseasontotalsRC">[1]HAR!$O$39</definedName>
    <definedName name="harlequinspremseasontotalstriesconceded">[1]HAR!$R$39</definedName>
    <definedName name="harlequinspremseasontotalstriesscored">[1]HAR!$J$39</definedName>
    <definedName name="harlequinspremseasontotalswon">[1]HAR!$Z$39</definedName>
    <definedName name="harlequinspremseasontotalsYC">[1]HAR!$N$39</definedName>
    <definedName name="harlequinspremtrybonuscon">[1]HAR!$P$37</definedName>
    <definedName name="harlequinspremtrybonusscored">[1]HAR!$H$37</definedName>
    <definedName name="harlequinspremyellow">[2]HAR!$N$39</definedName>
    <definedName name="harlosingbonus">FIJ!#REF!</definedName>
    <definedName name="harlosingbonusconceded">FIJ!#REF!</definedName>
    <definedName name="harlost">FIJ!#REF!</definedName>
    <definedName name="harplayed">FIJ!#REF!</definedName>
    <definedName name="harred">FIJ!#REF!</definedName>
    <definedName name="harscored">FIJ!#REF!</definedName>
    <definedName name="hartriesconceded">FIJ!#REF!</definedName>
    <definedName name="hartriesscored">FIJ!#REF!</definedName>
    <definedName name="hartrybonus">FIJ!#REF!</definedName>
    <definedName name="hartrybonusconceded">FIJ!#REF!</definedName>
    <definedName name="harwon">FIJ!#REF!</definedName>
    <definedName name="haryellow">FIJ!#REF!</definedName>
    <definedName name="Ire2019alltestsdrawn">IRE!$AA$14</definedName>
    <definedName name="Ire2019alltestslost">IRE!$AB$14</definedName>
    <definedName name="Ire2019alltestsplayed">IRE!$Y$14</definedName>
    <definedName name="Ire2019alltestsptscon">IRE!$G$14</definedName>
    <definedName name="Ire2019alltestsptsscored">IRE!$F$14</definedName>
    <definedName name="Ire2019allteststriescon">IRE!$R$14</definedName>
    <definedName name="Ire2019allteststriesscored">IRE!$J$14</definedName>
    <definedName name="Ire2019alltestswon">IRE!$Z$14</definedName>
    <definedName name="Ire2019pooldrawn">IRE!#REF!</definedName>
    <definedName name="Ire2019poollbcon">IRE!#REF!</definedName>
    <definedName name="Ire2019poollbscored">IRE!#REF!</definedName>
    <definedName name="Ire2019poollost">IRE!#REF!</definedName>
    <definedName name="Ire2019poolplayed">IRE!#REF!</definedName>
    <definedName name="Ire2019poolptscon">IRE!#REF!</definedName>
    <definedName name="Ire2019poolptsscored">IRE!#REF!</definedName>
    <definedName name="Ire2019pooltbcon">IRE!#REF!</definedName>
    <definedName name="Ire2019pooltbscored">IRE!#REF!</definedName>
    <definedName name="Ire2019pooltriescon">IRE!#REF!</definedName>
    <definedName name="Ire2019pooltriesscored">IRE!#REF!</definedName>
    <definedName name="Ire2019poolwon">IRE!#REF!</definedName>
    <definedName name="Ire2019RWCdrawn">IRE!#REF!</definedName>
    <definedName name="Ire2019RWClost">IRE!#REF!</definedName>
    <definedName name="Ire2019RWCplayed">IRE!#REF!</definedName>
    <definedName name="Ire2019RWCptsagainst">IRE!#REF!</definedName>
    <definedName name="Ire2019RWCptsscored">IRE!#REF!</definedName>
    <definedName name="Ire2019RWCrc">IRE!#REF!</definedName>
    <definedName name="Ire2019RWCtriescon">IRE!#REF!</definedName>
    <definedName name="Ire2019RWCtriesscored">IRE!#REF!</definedName>
    <definedName name="Ire2019RWCwon">IRE!#REF!</definedName>
    <definedName name="Ire2019RWCyc">IRE!#REF!</definedName>
    <definedName name="Irelandalltestshistdrawn">Sum!$E$10</definedName>
    <definedName name="Irelandalltestshistlost">Sum!$D$10</definedName>
    <definedName name="Irelandalltestshistplayed">Sum!$B$10</definedName>
    <definedName name="Irelandalltestshistptsagainst">Sum!$H$10</definedName>
    <definedName name="Irelandalltestshistptsscored">Sum!$G$10</definedName>
    <definedName name="Irelandalltestshisttriesscored">Sum!$I$10</definedName>
    <definedName name="Irelandalltestshistwon">Sum!$C$10</definedName>
    <definedName name="Irelanddrawn">IRE!$AA$12</definedName>
    <definedName name="Irelandlosingbonus">IRE!$I$12</definedName>
    <definedName name="Irelandlost">IRE!$AB$12</definedName>
    <definedName name="Irelandplayed">IRE!$Y$12</definedName>
    <definedName name="Irelandptsagainst">IRE!$G$12</definedName>
    <definedName name="Irelandptsscored">IRE!$F$12</definedName>
    <definedName name="Irelandred">IRE!$O$12</definedName>
    <definedName name="IrelandRWChistdrawn">Sum!$E$35</definedName>
    <definedName name="IrelandRWChistlost">Sum!$D$35</definedName>
    <definedName name="IrelandRWChistplayed">Sum!$B$35</definedName>
    <definedName name="IrelandRWChistptsagainst">Sum!$H$35</definedName>
    <definedName name="IrelandRWChistptsscored">Sum!$G$35</definedName>
    <definedName name="IrelandRWChisttriesscored">Sum!$I$35</definedName>
    <definedName name="IrelandRWChistwon">Sum!$C$35</definedName>
    <definedName name="Irelandtriesagainst">IRE!$R$12</definedName>
    <definedName name="Irelandtriesscored">IRE!$J$12</definedName>
    <definedName name="Irelandtrybonus">IRE!$H$12</definedName>
    <definedName name="Irelandwon">IRE!$Z$12</definedName>
    <definedName name="Irelandyellow">IRE!$N$12</definedName>
    <definedName name="irelb">IRE!#REF!</definedName>
    <definedName name="irelbcon">IRE!#REF!</definedName>
    <definedName name="ireoveralldrawn">IRE!#REF!</definedName>
    <definedName name="ireoveralllost">IRE!#REF!</definedName>
    <definedName name="ireoverallpld">IRE!#REF!</definedName>
    <definedName name="ireoverallptsag">IRE!#REF!</definedName>
    <definedName name="ireoverallptsscored">IRE!#REF!</definedName>
    <definedName name="ireoveralltriescon">IRE!#REF!</definedName>
    <definedName name="ireoveralltriesscored">IRE!#REF!</definedName>
    <definedName name="ireoverallwon">IRE!#REF!</definedName>
    <definedName name="irepooldrawn">IRE!#REF!</definedName>
    <definedName name="irepoollost">IRE!#REF!</definedName>
    <definedName name="irepoolpld">IRE!#REF!</definedName>
    <definedName name="irepoolptsag">IRE!#REF!</definedName>
    <definedName name="irepoolptsscored">IRE!#REF!</definedName>
    <definedName name="irepooltriescon">IRE!#REF!</definedName>
    <definedName name="irepooltriesscored">IRE!#REF!</definedName>
    <definedName name="irepoolwon">IRE!#REF!</definedName>
    <definedName name="irered">IRE!#REF!</definedName>
    <definedName name="iretb">IRE!#REF!</definedName>
    <definedName name="iretbcon">IRE!#REF!</definedName>
    <definedName name="ireyellow">IRE!#REF!</definedName>
    <definedName name="ita2019alltestsdrawn">ITA!$AA$14</definedName>
    <definedName name="ita2019alltestslost">ITA!$AB$14</definedName>
    <definedName name="ita2019alltestsplayed">ITA!$Y$14</definedName>
    <definedName name="ita2019alltestsptscon">ITA!$G$14</definedName>
    <definedName name="ita2019alltestsptsscored">ITA!$F$14</definedName>
    <definedName name="ita2019allteststriescon">ITA!$R$14</definedName>
    <definedName name="ita2019allteststriesscored">ITA!$J$14</definedName>
    <definedName name="ita2019alltestswon">ITA!$Z$14</definedName>
    <definedName name="ita2019pooldrawn">ITA!#REF!</definedName>
    <definedName name="ita2019poollbcon">ITA!#REF!</definedName>
    <definedName name="ita2019poollbscored">ITA!#REF!</definedName>
    <definedName name="ita2019poollost">ITA!#REF!</definedName>
    <definedName name="ita2019poolplayed">ITA!#REF!</definedName>
    <definedName name="ita2019poolptscon">ITA!#REF!</definedName>
    <definedName name="ita2019poolptsscored">ITA!#REF!</definedName>
    <definedName name="ita2019pooltbcon">ITA!#REF!</definedName>
    <definedName name="ita2019pooltbscored">ITA!#REF!</definedName>
    <definedName name="ita2019pooltriescon">ITA!#REF!</definedName>
    <definedName name="ita2019pooltriesscored">ITA!#REF!</definedName>
    <definedName name="ita2019poolwon">ITA!#REF!</definedName>
    <definedName name="ita2019RWCdrawn">ITA!#REF!</definedName>
    <definedName name="ita2019RWClost">ITA!#REF!</definedName>
    <definedName name="ita2019RWCplayed">ITA!#REF!</definedName>
    <definedName name="ita2019RWCptscon">ITA!#REF!</definedName>
    <definedName name="ita2019RWCptsscored">ITA!#REF!</definedName>
    <definedName name="ita2019RWCrc">ITA!#REF!</definedName>
    <definedName name="ita2019RWCtriescon">ITA!#REF!</definedName>
    <definedName name="ita2019RWCtriesscored">ITA!#REF!</definedName>
    <definedName name="ita2019RWCwon">ITA!#REF!</definedName>
    <definedName name="ita2019RWCyc">ITA!#REF!</definedName>
    <definedName name="italb">ITA!#REF!</definedName>
    <definedName name="italbcon">ITA!#REF!</definedName>
    <definedName name="Italyalltestshistdrawn">Sum!$E$11</definedName>
    <definedName name="Italyalltestshistlost">Sum!$D$11</definedName>
    <definedName name="Italyalltestshistplayed">Sum!$B$11</definedName>
    <definedName name="Italyalltestshistptsagainst">Sum!$H$11</definedName>
    <definedName name="Italyalltestshistptsscored">Sum!$G$11</definedName>
    <definedName name="Italyalltestshisttriesscored">Sum!$I$11</definedName>
    <definedName name="Italyalltestshistwon">Sum!$C$11</definedName>
    <definedName name="Italydrawn">ITA!$AA$12</definedName>
    <definedName name="Italylosingbonus">ITA!$I$12</definedName>
    <definedName name="Italylost">ITA!$AB$12</definedName>
    <definedName name="Italyplayed">ITA!$Y$12</definedName>
    <definedName name="Italyptsagainst">ITA!$G$12</definedName>
    <definedName name="Italyptsscored">ITA!$F$12</definedName>
    <definedName name="Italyred">ITA!$O$12</definedName>
    <definedName name="ItalyRWChistdrawn">Sum!$E$36</definedName>
    <definedName name="ItalyRWChistlost">Sum!$D$36</definedName>
    <definedName name="ItalyRWChistplayed">Sum!$B$36</definedName>
    <definedName name="ItalyRWChistptsagainst">Sum!$H$36</definedName>
    <definedName name="ItalyRWChistptsscored">Sum!$G$36</definedName>
    <definedName name="ItalyRWChisttriesscored">Sum!$I$36</definedName>
    <definedName name="ItalyRWChistwon">Sum!$C$36</definedName>
    <definedName name="Italytriesagainst">ITA!$R$12</definedName>
    <definedName name="Italytriesscored">ITA!$J$12</definedName>
    <definedName name="Italytrybonus">ITA!$H$12</definedName>
    <definedName name="Italywon">ITA!$Z$12</definedName>
    <definedName name="Italyyellow">ITA!$N$12</definedName>
    <definedName name="itaoveralldrawn">ITA!#REF!</definedName>
    <definedName name="itaoveralllost">ITA!#REF!</definedName>
    <definedName name="itaoverallpld">ITA!#REF!</definedName>
    <definedName name="itaoverallptsag">ITA!#REF!</definedName>
    <definedName name="itaoverallptsscored">ITA!#REF!</definedName>
    <definedName name="itaoveralltriesscored">ITA!#REF!</definedName>
    <definedName name="itaoverallwon">ITA!#REF!</definedName>
    <definedName name="itapooldrawm">ITA!#REF!</definedName>
    <definedName name="itapoollost">ITA!#REF!</definedName>
    <definedName name="itapoolpld">ITA!#REF!</definedName>
    <definedName name="itapoolptsag">ITA!#REF!</definedName>
    <definedName name="itapoolptsscored">ITA!#REF!</definedName>
    <definedName name="itapooltriescon">ITA!#REF!</definedName>
    <definedName name="itapooltriesscored">ITA!#REF!</definedName>
    <definedName name="itapoolwon">ITA!#REF!</definedName>
    <definedName name="itared">ITA!#REF!</definedName>
    <definedName name="itatb">ITA!#REF!</definedName>
    <definedName name="itatbcon">ITA!#REF!</definedName>
    <definedName name="itatriescon">ITA!#REF!</definedName>
    <definedName name="itayellow">ITA!#REF!</definedName>
    <definedName name="Japanalltestshistdrawn">Sum!$E$12</definedName>
    <definedName name="Japanalltestshistlost">Sum!$D$12</definedName>
    <definedName name="Japanalltestshistplayed">Sum!$B$12</definedName>
    <definedName name="Japanalltestshistptscon">Sum!$H$12</definedName>
    <definedName name="Japanalltestshistptsscored">Sum!$G$12</definedName>
    <definedName name="Japanalltestshisttriesscored">Sum!$G$12</definedName>
    <definedName name="Japanalltestshisttriesscoredcorrect">Sum!$I$12</definedName>
    <definedName name="Japanalltestshistwon">Sum!$C$12</definedName>
    <definedName name="JapanRWChistdrawn">Sum!$E$38</definedName>
    <definedName name="JapanRWChistlost">Sum!$D$38</definedName>
    <definedName name="JapanRWChistplayed">Sum!$B$38</definedName>
    <definedName name="JapanRWChistptsagainst">Sum!$H$38</definedName>
    <definedName name="JapanRWChistptsscored">Sum!$G$38</definedName>
    <definedName name="JapanRWChisttriesscored">Sum!$I$38</definedName>
    <definedName name="JapanRWChistwon">Sum!$C$38</definedName>
    <definedName name="jpn2019alltestsdrawn">JPN!$AA$13</definedName>
    <definedName name="jpn2019alltestslost">JPN!$AB$13</definedName>
    <definedName name="jpn2019alltestsplayed">JPN!$Y$13</definedName>
    <definedName name="jpn2019alltestsptsagainst">JPN!$G$13</definedName>
    <definedName name="jpn2019alltestsptsscored">JPN!$F$13</definedName>
    <definedName name="jpn2019allteststriescon">JPN!$R$13</definedName>
    <definedName name="jpn2019allteststriesscored">JPN!$J$13</definedName>
    <definedName name="jpn2019alltestswon">JPN!$Z$13</definedName>
    <definedName name="jpn2019pooldrawn">JPN!#REF!</definedName>
    <definedName name="jpn2019poollbcon">JPN!#REF!</definedName>
    <definedName name="jpn2019poollbscored">JPN!#REF!</definedName>
    <definedName name="jpn2019poollost">JPN!#REF!</definedName>
    <definedName name="jpn2019poolplayed">JPN!#REF!</definedName>
    <definedName name="jpn2019poolptscon">JPN!#REF!</definedName>
    <definedName name="jpn2019poolptsscored">JPN!#REF!</definedName>
    <definedName name="jpn2019pooltbcon">JPN!#REF!</definedName>
    <definedName name="jpn2019pooltbscored">JPN!#REF!</definedName>
    <definedName name="jpn2019pooltriescon">JPN!#REF!</definedName>
    <definedName name="jpn2019pooltriesscored">JPN!#REF!</definedName>
    <definedName name="jpn2019poolwon">JPN!#REF!</definedName>
    <definedName name="jpn2019rwcdrawn">JPN!#REF!</definedName>
    <definedName name="jpn2019rwclost">JPN!#REF!</definedName>
    <definedName name="jpn2019rwcplayed">JPN!#REF!</definedName>
    <definedName name="jpn2019rwcptsagainst">JPN!#REF!</definedName>
    <definedName name="jpn2019rwcptsscored">JPN!#REF!</definedName>
    <definedName name="jpn2019rwcrc">JPN!#REF!</definedName>
    <definedName name="jpn2019rwctriescon">JPN!#REF!</definedName>
    <definedName name="jpn2019rwctriesscored">JPN!#REF!</definedName>
    <definedName name="jpn2019rwcwon">JPN!#REF!</definedName>
    <definedName name="jpn2019rwcyc">JPN!#REF!</definedName>
    <definedName name="jpnlb">JPN!#REF!</definedName>
    <definedName name="jpnlbcon">JPN!#REF!</definedName>
    <definedName name="jpnoveralldrawn">JPN!#REF!</definedName>
    <definedName name="jpnoveralllost">JPN!#REF!</definedName>
    <definedName name="jpnoverallpld">JPN!#REF!</definedName>
    <definedName name="jpnoverallptsag">JPN!#REF!</definedName>
    <definedName name="jpnoverallptsscored">JPN!#REF!</definedName>
    <definedName name="jpnoveralltriescon">JPN!#REF!</definedName>
    <definedName name="jpnoveralltriesscored">JPN!#REF!</definedName>
    <definedName name="jpnoverallwon">JPN!#REF!</definedName>
    <definedName name="jpnpooldrawn">JPN!#REF!</definedName>
    <definedName name="jpnpoollost">JPN!#REF!</definedName>
    <definedName name="jpnpoolpld">JPN!#REF!</definedName>
    <definedName name="jpnpoolptsag">JPN!#REF!</definedName>
    <definedName name="jpnpoolptsscored">JPN!#REF!</definedName>
    <definedName name="jpnpooltriescon">JPN!#REF!</definedName>
    <definedName name="jpnpooltriesscored">JPN!#REF!</definedName>
    <definedName name="jpnpoolwon">JPN!#REF!</definedName>
    <definedName name="jpnred">JPN!#REF!</definedName>
    <definedName name="jpntb">JPN!#REF!</definedName>
    <definedName name="jpntbcon">JPN!#REF!</definedName>
    <definedName name="jpnyellow">JPN!#REF!</definedName>
    <definedName name="leicesterpoconceded">FRA!#REF!</definedName>
    <definedName name="leicesterpolost">FRA!#REF!</definedName>
    <definedName name="leicesterpoplayed">FRA!#REF!</definedName>
    <definedName name="leicesterpored">FRA!#REF!</definedName>
    <definedName name="leicesterposcored">FRA!#REF!</definedName>
    <definedName name="leicesterpotriesconceded">FRA!#REF!</definedName>
    <definedName name="leicesterpotriesscored">FRA!#REF!</definedName>
    <definedName name="leicesterpowon">FRA!#REF!</definedName>
    <definedName name="leicesterpoyellow">FRA!#REF!</definedName>
    <definedName name="leicesterpremred">[2]LEIC!$O$39</definedName>
    <definedName name="leicesterpremseasontotalsdgs">[1]LEIC!$L$37</definedName>
    <definedName name="leicesterpremseasontotalsdrawn">[1]LEIC!$AA$37</definedName>
    <definedName name="leicesterpremseasontotalslost">[1]LEIC!$AB$37</definedName>
    <definedName name="leicesterpremseasontotalsplayed">[1]LEIC!$Y$37</definedName>
    <definedName name="leicesterpremseasontotalsptsagainst">[1]LEIC!$G$37</definedName>
    <definedName name="leicesterpremseasontotalsptsscored">[1]LEIC!$F$37</definedName>
    <definedName name="leicesterpremseasontotalsRC">[1]LEIC!$O$37</definedName>
    <definedName name="leicesterpremseasontotalstriesconceded">[1]LEIC!$R$37</definedName>
    <definedName name="leicesterpremseasontotalstriesscored">[1]LEIC!$J$37</definedName>
    <definedName name="leicesterpremseasontotalswon">[1]LEIC!$Z$37</definedName>
    <definedName name="leicesterpremseasontotalsYC">[1]LEIC!$N$37</definedName>
    <definedName name="leicesterpremtrybonusconccorrect">[1]LEIC!$P$35</definedName>
    <definedName name="leicesterpremtrybonusscored">[1]LEIC!$H$35</definedName>
    <definedName name="leicesterpremyellow">[2]LEIC!$N$39</definedName>
    <definedName name="leicsbonus">FRA!#REF!</definedName>
    <definedName name="leicsconceded">FRA!#REF!</definedName>
    <definedName name="leicsdrawn">FRA!#REF!</definedName>
    <definedName name="leicslosingbonus">FRA!#REF!</definedName>
    <definedName name="leicslosingbonusconceded">FRA!#REF!</definedName>
    <definedName name="leicslost">FRA!#REF!</definedName>
    <definedName name="leicsplayed">FRA!#REF!</definedName>
    <definedName name="leicsred">FRA!#REF!</definedName>
    <definedName name="leicsscored">FRA!#REF!</definedName>
    <definedName name="leicstries">FRA!#REF!</definedName>
    <definedName name="leicstriesconceded">FRA!#REF!</definedName>
    <definedName name="leicstrybonus">FRA!#REF!</definedName>
    <definedName name="leicstrybonusconceded">FRA!#REF!</definedName>
    <definedName name="leicswon">FRA!#REF!</definedName>
    <definedName name="leicsyellow">FRA!#REF!</definedName>
    <definedName name="libonus">CAN!#REF!</definedName>
    <definedName name="liconceded">CAN!#REF!</definedName>
    <definedName name="lidrawn">CAN!#REF!</definedName>
    <definedName name="lilosingbonus">CAN!#REF!</definedName>
    <definedName name="lilosingbonusconceded">CAN!#REF!</definedName>
    <definedName name="lilost">CAN!#REF!</definedName>
    <definedName name="liplayed">CAN!#REF!</definedName>
    <definedName name="lirdgsscored">[1]BRI!$L$36</definedName>
    <definedName name="lired">CAN!#REF!</definedName>
    <definedName name="liscored">CAN!#REF!</definedName>
    <definedName name="litries">CAN!#REF!</definedName>
    <definedName name="litriesconceded">CAN!#REF!</definedName>
    <definedName name="litrybonus">CAN!#REF!</definedName>
    <definedName name="litrybonusconceded">CAN!#REF!</definedName>
    <definedName name="liwon">CAN!#REF!</definedName>
    <definedName name="liyellow">CAN!#REF!</definedName>
    <definedName name="lweagainst">GEO!#REF!</definedName>
    <definedName name="lwedrawn">GEO!#REF!</definedName>
    <definedName name="lwelosingbonus">GEO!#REF!</definedName>
    <definedName name="lwelosingbonusonceded">GEO!#REF!</definedName>
    <definedName name="lwelost">GEO!#REF!</definedName>
    <definedName name="lweplayed">GEO!#REF!</definedName>
    <definedName name="lwered">GEO!#REF!</definedName>
    <definedName name="lwescored">GEO!#REF!</definedName>
    <definedName name="lwetriesconceded">GEO!#REF!</definedName>
    <definedName name="lwetriesscored">GEO!#REF!</definedName>
    <definedName name="lwetrybonus">GEO!#REF!</definedName>
    <definedName name="lwetrybonusconceded">GEO!#REF!</definedName>
    <definedName name="lwewon">GEO!#REF!</definedName>
    <definedName name="lweyellow">GEO!#REF!</definedName>
    <definedName name="Nam2019alltestsdrawn">NAM!$AA$10</definedName>
    <definedName name="Nam2019alltestslost">NAM!$AB$10</definedName>
    <definedName name="Nam2019alltestsplayed">NAM!$Y$10</definedName>
    <definedName name="Nam2019alltestsptscon">NAM!$G$10</definedName>
    <definedName name="Nam2019alltestsptsscored">NAM!$F$10</definedName>
    <definedName name="Nam2019allteststriescon">NAM!$R$10</definedName>
    <definedName name="Nam2019allteststriesscored">NAM!$J$10</definedName>
    <definedName name="Nam2019alltestswon">NAM!$Z$10</definedName>
    <definedName name="Nam2019pooldrawn">NAM!#REF!</definedName>
    <definedName name="Nam2019poollbcon">NAM!#REF!</definedName>
    <definedName name="Nam2019poollbscored">NAM!#REF!</definedName>
    <definedName name="Nam2019poollost">NAM!#REF!</definedName>
    <definedName name="Nam2019poolplayed">NAM!#REF!</definedName>
    <definedName name="Nam2019poolptscon">NAM!#REF!</definedName>
    <definedName name="Nam2019poolptsscored">NAM!#REF!</definedName>
    <definedName name="Nam2019pooltbcon">NAM!#REF!</definedName>
    <definedName name="Nam2019pooltbscored">NAM!#REF!</definedName>
    <definedName name="Nam2019pooltriescon">NAM!#REF!</definedName>
    <definedName name="Nam2019pooltriesscored">NAM!#REF!</definedName>
    <definedName name="Nam2019poolwon">NAM!#REF!</definedName>
    <definedName name="Nam2019RWCdrawn">NAM!#REF!</definedName>
    <definedName name="Nam2019RWClost">NAM!#REF!</definedName>
    <definedName name="Nam2019RWCplayed">NAM!#REF!</definedName>
    <definedName name="Nam2019RWCptsagainst">NAM!#REF!</definedName>
    <definedName name="Nam2019RWCptsscored">NAM!#REF!</definedName>
    <definedName name="Nam2019RWCrc">NAM!#REF!</definedName>
    <definedName name="Nam2019RWCtriescon">NAM!#REF!</definedName>
    <definedName name="Nam2019RWCtriesscored">NAM!#REF!</definedName>
    <definedName name="Nam2019RWCwon">NAM!#REF!</definedName>
    <definedName name="Nam2019RWCyc">NAM!#REF!</definedName>
    <definedName name="Namibiaalltestshistdrawn">Sum!$E$13</definedName>
    <definedName name="Namibiaalltestshistlost">Sum!$D$13</definedName>
    <definedName name="Namibiaalltestshistplayed">Sum!$B$13</definedName>
    <definedName name="Namibiaalltestshistptscon">Sum!$H$13</definedName>
    <definedName name="Namibiaalltestshistptsscored">Sum!$G$13</definedName>
    <definedName name="Namibiaalltestshisttriesscored">Sum!$I$13</definedName>
    <definedName name="Namibiaalltestshistwon">Sum!$C$13</definedName>
    <definedName name="NamibiaRWChistdrawn">Sum!$E$39</definedName>
    <definedName name="NamibiaRWChistlost">Sum!$D$39</definedName>
    <definedName name="NamibiaRWChistplayed">Sum!$B$39</definedName>
    <definedName name="NamibiaRWChistptsagainst">Sum!$H$39</definedName>
    <definedName name="NamibiaRWChistptsscored">Sum!$G$39</definedName>
    <definedName name="NamibiaRWChisttriesscored">Sum!$I$39</definedName>
    <definedName name="NamibiaRWChistwon">Sum!$C$39</definedName>
    <definedName name="namlb">#REF!</definedName>
    <definedName name="namlbcon">#REF!</definedName>
    <definedName name="namoveralldrawn">#REF!</definedName>
    <definedName name="namoveralllost">#REF!</definedName>
    <definedName name="namoverallpld">#REF!</definedName>
    <definedName name="namoverallptsag">#REF!</definedName>
    <definedName name="namoverallptsscored">#REF!</definedName>
    <definedName name="namoveralltriescon">#REF!</definedName>
    <definedName name="namoveralltriesscored">#REF!</definedName>
    <definedName name="namoverallwon">#REF!</definedName>
    <definedName name="nampooldrawn">#REF!</definedName>
    <definedName name="nampoollost">#REF!</definedName>
    <definedName name="nampoolpld">#REF!</definedName>
    <definedName name="nampoolptsag">#REF!</definedName>
    <definedName name="nampoolptsscored">#REF!</definedName>
    <definedName name="nampooltriescon">#REF!</definedName>
    <definedName name="nampooltriesscored">#REF!</definedName>
    <definedName name="nampoolwon">#REF!</definedName>
    <definedName name="namred">#REF!</definedName>
    <definedName name="namtb">#REF!</definedName>
    <definedName name="namtbcon">#REF!</definedName>
    <definedName name="namyellow">#REF!</definedName>
    <definedName name="New_ZealandRWChistdrawn">Sum!$E$40</definedName>
    <definedName name="New_ZealandRWChistlost">Sum!$D$40</definedName>
    <definedName name="New_ZealandRWChistplayed">Sum!$B$40</definedName>
    <definedName name="New_ZealandRWChistptscon">Sum!$G$40</definedName>
    <definedName name="New_ZealandRWChistptsconcorrect">Sum!$H$40</definedName>
    <definedName name="New_ZealandRWChistptsscored">Sum!$G$40</definedName>
    <definedName name="New_ZealandRWChisttriesscored">Sum!$I$40</definedName>
    <definedName name="New_ZealandRWChistwon">Sum!$C$40</definedName>
    <definedName name="newcastlepremred">[2]NEW!$O$37</definedName>
    <definedName name="Newcastlepremtotalsdgs">[1]NEW!$L$38</definedName>
    <definedName name="newcastlepremtotalsdrawn">[1]NEW!$AA$36</definedName>
    <definedName name="Newcastlepremtotalslost">[1]NEW!$AB$38</definedName>
    <definedName name="Newcastlepremtotalsplayed">[1]NEW!$Y$38</definedName>
    <definedName name="Newcastlepremtotalsptsagainst">[1]NEW!$G$38</definedName>
    <definedName name="Newcastlepremtotalsptsscored">[1]NEW!$F$38</definedName>
    <definedName name="Newcastlepremtotalsrc">[1]NEW!$O$38</definedName>
    <definedName name="Newcastlepremtotalstriesconceded">[1]NEW!$R$38</definedName>
    <definedName name="Newcastlepremtotalstriesscored">[1]NEW!$J$38</definedName>
    <definedName name="Newcastlepremtotalswon">[1]NEW!$Z$38</definedName>
    <definedName name="Newcastlepremtotalsyc">[1]NEW!$N$38</definedName>
    <definedName name="newcastlepremtrybonuscocn">[1]NEW!$P$36</definedName>
    <definedName name="newcastlepremtrybonusscored">[1]NEW!$H$36</definedName>
    <definedName name="newcastlepremyellow">[2]NEW!$N$37</definedName>
    <definedName name="newcbonus">IRE!#REF!</definedName>
    <definedName name="newcconceded">IRE!#REF!</definedName>
    <definedName name="newcdrawn">IRE!#REF!</definedName>
    <definedName name="newclosingbonus">IRE!#REF!</definedName>
    <definedName name="newclosingbonusconceded">IRE!#REF!</definedName>
    <definedName name="newclost">IRE!#REF!</definedName>
    <definedName name="newcplayed">IRE!#REF!</definedName>
    <definedName name="newcred">IRE!#REF!</definedName>
    <definedName name="newcscored">IRE!#REF!</definedName>
    <definedName name="newctriesconceded">IRE!#REF!</definedName>
    <definedName name="newctriesscored">IRE!#REF!</definedName>
    <definedName name="newctrybonus">IRE!#REF!</definedName>
    <definedName name="newctrybonusconceded">IRE!#REF!</definedName>
    <definedName name="newcwon">IRE!#REF!</definedName>
    <definedName name="newcyellow">IRE!#REF!</definedName>
    <definedName name="northamptonpremred">[2]NOR!$O$37</definedName>
    <definedName name="northamptonpremseasontotalsdgs">[1]NOR!$L$42</definedName>
    <definedName name="northamptonpremseasontotalsdrawn">[1]NOR!$AA$42</definedName>
    <definedName name="northamptonpremseasontotalslost">[1]NOR!$AB$42</definedName>
    <definedName name="northamptonpremseasontotalsplayed">[1]NOR!$Y$42</definedName>
    <definedName name="northamptonpremseasontotalsptsagainst">[1]NOR!$G$42</definedName>
    <definedName name="northamptonpremseasontotalsptsscored">[1]NOR!$F$42</definedName>
    <definedName name="northamptonpremseasontotalstriesconceded">[1]NOR!$R$42</definedName>
    <definedName name="northamptonpremseasontotalstriesscored">[1]NOR!$J$42</definedName>
    <definedName name="northamptonpremseasontotalswon">[1]NOR!$Z$42</definedName>
    <definedName name="northamptonpremtrybonusconc">[1]NOR!$P$40</definedName>
    <definedName name="northamptonpremtrybonusscored">[1]NOR!$H$40</definedName>
    <definedName name="northamptonpremyellow">[2]NOR!$N$37</definedName>
    <definedName name="Nzl2019alltestsdrawn">NZL!$AA$11</definedName>
    <definedName name="Nzl2019alltestshistdrawn">Sum!$E$14</definedName>
    <definedName name="Nzl2019alltestshistlost">Sum!$D$14</definedName>
    <definedName name="Nzl2019alltestshistplayed">Sum!$B$14</definedName>
    <definedName name="Nzl2019alltestshistptscon">Sum!$H$14</definedName>
    <definedName name="Nzl2019alltestshistptsscored">Sum!$G$14</definedName>
    <definedName name="Nzl2019alltestshisttriesscored">Sum!$I$14</definedName>
    <definedName name="Nzl2019alltestshistwon">Sum!$C$14</definedName>
    <definedName name="Nzl2019alltestslost">NZL!$AB$11</definedName>
    <definedName name="Nzl2019alltestsplayed">NZL!$Y$11</definedName>
    <definedName name="Nzl2019alltestsptscon">NZL!$G$11</definedName>
    <definedName name="Nzl2019alltestsptsscored">NZL!$F$11</definedName>
    <definedName name="Nzl2019allteststriescon">NZL!$R$11</definedName>
    <definedName name="Nzl2019allteststriesscored">NZL!$J$11</definedName>
    <definedName name="Nzl2019alltestswon">NZL!$Z$11</definedName>
    <definedName name="Nzl2019pooldrawn">NZL!#REF!</definedName>
    <definedName name="Nzl2019poollbcon">NZL!#REF!</definedName>
    <definedName name="Nzl2019poollbscored">NZL!#REF!</definedName>
    <definedName name="Nzl2019poollost">NZL!#REF!</definedName>
    <definedName name="Nzl2019poolplayed">NZL!#REF!</definedName>
    <definedName name="Nzl2019poolptscon">NZL!#REF!</definedName>
    <definedName name="Nzl2019poolptsscored">NZL!#REF!</definedName>
    <definedName name="Nzl2019pooltbcon">NZL!#REF!</definedName>
    <definedName name="Nzl2019pooltbscored">NZL!#REF!</definedName>
    <definedName name="Nzl2019pooltriescon">NZL!#REF!</definedName>
    <definedName name="Nzl2019pooltriesscored">NZL!#REF!</definedName>
    <definedName name="Nzl2019poolwon">NZL!#REF!</definedName>
    <definedName name="Nzl2019RWCdrawn">NZL!#REF!</definedName>
    <definedName name="Nzl2019RWClost">NZL!#REF!</definedName>
    <definedName name="Nzl2019RWCplayed">NZL!#REF!</definedName>
    <definedName name="Nzl2019RWCptsscon">NZL!#REF!</definedName>
    <definedName name="Nzl2019RWCptsscored">NZL!#REF!</definedName>
    <definedName name="Nzl2019RWCrc">NZL!#REF!</definedName>
    <definedName name="Nzl2019RWCtriescon">NZL!#REF!</definedName>
    <definedName name="Nzl2019RWCtriesscored">NZL!#REF!</definedName>
    <definedName name="Nzl2019RWCwon">NZL!#REF!</definedName>
    <definedName name="Nzl2019RWCyc">NZL!#REF!</definedName>
    <definedName name="nzllb">NZL!#REF!</definedName>
    <definedName name="nzllbcon">NZL!#REF!</definedName>
    <definedName name="nzloveralldrawn">NZL!#REF!</definedName>
    <definedName name="nzloveralllost">NZL!#REF!</definedName>
    <definedName name="nzloverallpld">NZL!#REF!</definedName>
    <definedName name="nzloverallptsag">NZL!#REF!</definedName>
    <definedName name="nzloverallptsscored">NZL!#REF!</definedName>
    <definedName name="nzloveralltriescon">NZL!#REF!</definedName>
    <definedName name="nzloveralltriesscored">NZL!#REF!</definedName>
    <definedName name="nzloverallwon">NZL!#REF!</definedName>
    <definedName name="nzlpooldrawn">NZL!#REF!</definedName>
    <definedName name="nzlpoollost">NZL!#REF!</definedName>
    <definedName name="nzlpoolpld">NZL!#REF!</definedName>
    <definedName name="nzlpoolptsag">NZL!#REF!</definedName>
    <definedName name="nzlpoolptsscored">NZL!#REF!</definedName>
    <definedName name="nzlpooltriescon">NZL!#REF!</definedName>
    <definedName name="nzlpooltriesscored">NZL!#REF!</definedName>
    <definedName name="nzlpoolwon">NZL!#REF!</definedName>
    <definedName name="nzlred">NZL!#REF!</definedName>
    <definedName name="nzltb">NZL!#REF!</definedName>
    <definedName name="nzltbcon">NZL!#REF!</definedName>
    <definedName name="nzlyellow">NZL!#REF!</definedName>
    <definedName name="quinspoconceded">FIJ!#REF!</definedName>
    <definedName name="quinspolost">FIJ!#REF!</definedName>
    <definedName name="quinspoplayed">FIJ!#REF!</definedName>
    <definedName name="quinspored">FIJ!#REF!</definedName>
    <definedName name="quinsposcored">FIJ!#REF!</definedName>
    <definedName name="quinspotriesconceded">FIJ!#REF!</definedName>
    <definedName name="quinspotriesscored">FIJ!#REF!</definedName>
    <definedName name="quinspowon">FIJ!#REF!</definedName>
    <definedName name="quinspoyellow">FIJ!#REF!</definedName>
    <definedName name="romaniaalltestsdrawn">ROM!$AA$8</definedName>
    <definedName name="romaniaalltestslost">ROM!$AB$8</definedName>
    <definedName name="romaniaalltestsplayed">ROM!$Y$8</definedName>
    <definedName name="romaniaalltestsptsagainst">ROM!$G$8</definedName>
    <definedName name="romaniaalltestsptsscored">ROM!$F$8</definedName>
    <definedName name="romaniaallteststriesagaiant">ROM!$R$8</definedName>
    <definedName name="romaniaallteststriesscored">ROM!$J$8</definedName>
    <definedName name="romaniaalltestswon">ROM!$Z$8</definedName>
    <definedName name="romlb">ROM!#REF!</definedName>
    <definedName name="romlbcon">ROM!#REF!</definedName>
    <definedName name="romoveralldrawn">ROM!#REF!</definedName>
    <definedName name="romoveralllost">ROM!#REF!</definedName>
    <definedName name="romoverallpld">ROM!#REF!</definedName>
    <definedName name="romoverallptsag">ROM!#REF!</definedName>
    <definedName name="romoverallptsscored">ROM!#REF!</definedName>
    <definedName name="romoveralltriescon">ROM!#REF!</definedName>
    <definedName name="romoveralltriesscored">ROM!#REF!</definedName>
    <definedName name="romoverallwon">ROM!#REF!</definedName>
    <definedName name="rompooldrawn">ROM!#REF!</definedName>
    <definedName name="rompoollost">ROM!#REF!</definedName>
    <definedName name="rompoolpld">ROM!#REF!</definedName>
    <definedName name="rompoolptsag">ROM!#REF!</definedName>
    <definedName name="rompoolptsscored">ROM!#REF!</definedName>
    <definedName name="rompooltriescon">ROM!#REF!</definedName>
    <definedName name="rompooltriesscored">ROM!#REF!</definedName>
    <definedName name="rompoolwon">ROM!#REF!</definedName>
    <definedName name="romred">ROM!#REF!</definedName>
    <definedName name="romtb">ROM!#REF!</definedName>
    <definedName name="romtbcon">ROM!#REF!</definedName>
    <definedName name="romyellow">ROM!#REF!</definedName>
    <definedName name="Rsa2019alltestsdrawn">RSA!$AA$11</definedName>
    <definedName name="Rsa2019alltestslost">RSA!$AB$11</definedName>
    <definedName name="Rsa2019alltestsplayed">RSA!$Y$11</definedName>
    <definedName name="Rsa2019alltestsptscon">RSA!$G$11</definedName>
    <definedName name="Rsa2019alltestsptsscored">RSA!$F$11</definedName>
    <definedName name="Rsa2019allteststriescon">RSA!$R$11</definedName>
    <definedName name="Rsa2019allteststriesscored">RSA!$J$11</definedName>
    <definedName name="Rsa2019alltestswon">RSA!$Z$11</definedName>
    <definedName name="Rsa2019pooldrawn">RSA!#REF!</definedName>
    <definedName name="Rsa2019poollbcon">RSA!#REF!</definedName>
    <definedName name="Rsa2019poollbscored">RSA!#REF!</definedName>
    <definedName name="Rsa2019poollost">RSA!#REF!</definedName>
    <definedName name="Rsa2019poolplayed">RSA!#REF!</definedName>
    <definedName name="Rsa2019poolptscon">RSA!#REF!</definedName>
    <definedName name="Rsa2019poolptsscored">RSA!#REF!</definedName>
    <definedName name="Rsa2019pooltbcon">RSA!#REF!</definedName>
    <definedName name="Rsa2019pooltbscored">RSA!#REF!</definedName>
    <definedName name="Rsa2019pooltriescon">RSA!#REF!</definedName>
    <definedName name="Rsa2019pooltriesscored">RSA!#REF!</definedName>
    <definedName name="Rsa2019poolwon">RSA!#REF!</definedName>
    <definedName name="Rsa2019RWCdrawn">RSA!#REF!</definedName>
    <definedName name="Rsa2019RWClost">RSA!#REF!</definedName>
    <definedName name="Rsa2019RWCplayed">RSA!#REF!</definedName>
    <definedName name="Rsa2019RWCptscon">RSA!#REF!</definedName>
    <definedName name="Rsa2019RWCptsscored">RSA!#REF!</definedName>
    <definedName name="Rsa2019RWCrc">RSA!#REF!</definedName>
    <definedName name="Rsa2019RWCtriescon">RSA!#REF!</definedName>
    <definedName name="Rsa2019RWCtriesscored">RSA!#REF!</definedName>
    <definedName name="Rsa2019RWCwon">RSA!#REF!</definedName>
    <definedName name="Rsa2019RWCyc">RSA!#REF!</definedName>
    <definedName name="Rsaalltestshistdrawn">Sum!$E$19</definedName>
    <definedName name="Rsaalltestshistlost">Sum!$D$19</definedName>
    <definedName name="Rsaalltestshistplayed">Sum!$B$19</definedName>
    <definedName name="Rsaalltestshistptscon">Sum!$H$19</definedName>
    <definedName name="Rsaalltestshistptsscored">Sum!$G$19</definedName>
    <definedName name="Rsaalltestshisttriesscored">Sum!$I$19</definedName>
    <definedName name="Rsaalltestshistwon">Sum!$C$19</definedName>
    <definedName name="rsalb">RSA!#REF!</definedName>
    <definedName name="rsalbcon">RSA!#REF!</definedName>
    <definedName name="rsaoveralldrawn">RSA!#REF!</definedName>
    <definedName name="rsaoveralllost">RSA!#REF!</definedName>
    <definedName name="rsaoverallpld">RSA!#REF!</definedName>
    <definedName name="rsaoverallptsag">RSA!#REF!</definedName>
    <definedName name="rsaoverallptsscored">RSA!#REF!</definedName>
    <definedName name="rsaoveralltriescon">RSA!#REF!</definedName>
    <definedName name="rsaoveralltriesscored">RSA!#REF!</definedName>
    <definedName name="rsaoverallwon">RSA!#REF!</definedName>
    <definedName name="rsapooldrawn">RSA!#REF!</definedName>
    <definedName name="rsapoollost">RSA!#REF!</definedName>
    <definedName name="rsapoolpld">RSA!#REF!</definedName>
    <definedName name="rsapoolptsag">RSA!#REF!</definedName>
    <definedName name="rsapoolptsscored">RSA!#REF!</definedName>
    <definedName name="rsapooltriescon">RSA!#REF!</definedName>
    <definedName name="rsapooltriesscored">RSA!#REF!</definedName>
    <definedName name="rsapoolwon">RSA!#REF!</definedName>
    <definedName name="rsared">RSA!#REF!</definedName>
    <definedName name="RsaRWChistdrawn">Sum!$E$46</definedName>
    <definedName name="RsaRWChistlost">Sum!$D$46</definedName>
    <definedName name="RsaRWChistplayed">Sum!$B$46</definedName>
    <definedName name="RsaRWChistptscon">Sum!$H$46</definedName>
    <definedName name="RsaRWChistptsscored">Sum!$G$46</definedName>
    <definedName name="RsaRWChisttriesscored">Sum!$I$46</definedName>
    <definedName name="RsaRWChistwon">Sum!$C$46</definedName>
    <definedName name="rsatb">RSA!#REF!</definedName>
    <definedName name="rsatbcon">RSA!#REF!</definedName>
    <definedName name="rsayellow">RSA!#REF!</definedName>
    <definedName name="Rus2019alltestsdrawn">RUS!$AA$8</definedName>
    <definedName name="Rus2019alltestslost">RUS!$AB$8</definedName>
    <definedName name="Rus2019alltestsplayed">RUS!$Y$8</definedName>
    <definedName name="Rus2019alltestsptscon">RUS!$G$8</definedName>
    <definedName name="Rus2019alltestsptsscored">RUS!$F$8</definedName>
    <definedName name="Rus2019allteststriescon">RUS!$R$8</definedName>
    <definedName name="Rus2019allteststriescored">RUS!$J$8</definedName>
    <definedName name="Rus2019alltestswon">RUS!$Z$8</definedName>
    <definedName name="Rus2019pooldrawn">RUS!#REF!</definedName>
    <definedName name="Rus2019poollbcon">RUS!#REF!</definedName>
    <definedName name="Rus2019poollbscored">RUS!#REF!</definedName>
    <definedName name="Rus2019poollost">RUS!#REF!</definedName>
    <definedName name="Rus2019poolplayed">RUS!#REF!</definedName>
    <definedName name="Rus2019poolplayedcorrect">RUS!#REF!</definedName>
    <definedName name="Rus2019poolptscon">RUS!#REF!</definedName>
    <definedName name="Rus2019poolptsscored">RUS!#REF!</definedName>
    <definedName name="Rus2019pooltbcon">RUS!#REF!</definedName>
    <definedName name="Rus2019pooltbscored">RUS!#REF!</definedName>
    <definedName name="Rus2019pooltriescon">RUS!#REF!</definedName>
    <definedName name="Rus2019pooltriesscored">RUS!#REF!</definedName>
    <definedName name="Rus2019poolwon">RUS!#REF!</definedName>
    <definedName name="Rus2019poolwoncorrect">RUS!#REF!</definedName>
    <definedName name="Rus2019RWCdrawn">RUS!#REF!</definedName>
    <definedName name="Rus2019RWClost">RUS!#REF!</definedName>
    <definedName name="Rus2019RWCplayed">RUS!#REF!</definedName>
    <definedName name="Rus2019RWCptscon">RUS!#REF!</definedName>
    <definedName name="Rus2019RWCptsscored">RUS!#REF!</definedName>
    <definedName name="Rus2019RWCrc">RUS!#REF!</definedName>
    <definedName name="Rus2019RWCtriescon">RUS!#REF!</definedName>
    <definedName name="Rus2019RWCtriesscored">RUS!#REF!</definedName>
    <definedName name="Rus2019RWCwon">RUS!#REF!</definedName>
    <definedName name="Rus2019RWCyc">RUS!#REF!</definedName>
    <definedName name="Russiaalltestshistdrawn">Sum!$E$16</definedName>
    <definedName name="Russiaalltestshistlost">Sum!$D$16</definedName>
    <definedName name="Russiaalltestshistplayed">Sum!$B$16</definedName>
    <definedName name="Russiaalltestshistptsagainst">Sum!$H$16</definedName>
    <definedName name="Russiaalltestshistptsscored">Sum!$G$16</definedName>
    <definedName name="Russiaalltestshisttriesscored">Sum!$I$16</definedName>
    <definedName name="Russiaalltestshistwon">Sum!$C$16</definedName>
    <definedName name="RussiaRWChistdrawn">Sum!$E$43</definedName>
    <definedName name="RussiaRWChistlost">Sum!$D$43</definedName>
    <definedName name="RussiaRWChistplayed">Sum!$B$43</definedName>
    <definedName name="RussiaRWChistptscon">Sum!$H$43</definedName>
    <definedName name="RussiaRWChistptsscored">Sum!$G$43</definedName>
    <definedName name="RussiaRWChisttriesscored">Sum!$I$43</definedName>
    <definedName name="RussiaRWChistwon">Sum!$C$43</definedName>
    <definedName name="RWC2019startarg">ARG!#REF!</definedName>
    <definedName name="RWC2019startaus">AUS!$Y$8</definedName>
    <definedName name="RWC2019startcan">CAN!$Y$11</definedName>
    <definedName name="RWC2019starteng">ENG!#REF!</definedName>
    <definedName name="RWC2019startfij">FIJ!#REF!</definedName>
    <definedName name="RWC2019startfra">FRA!$Y$11</definedName>
    <definedName name="RWC2019startgeo">GEO!$Y$10</definedName>
    <definedName name="RWC2019startire">IRE!#REF!</definedName>
    <definedName name="RWC2019startita">ITA!#REF!</definedName>
    <definedName name="RWC2019startjpn">JPN!$Y$7</definedName>
    <definedName name="RWC2019startnam">NAM!$Y$5</definedName>
    <definedName name="RWC2019startnzl">NZL!$Y$8</definedName>
    <definedName name="RWC2019startrsa">RSA!$Y$8</definedName>
    <definedName name="RWC2019startrus">RUS!#REF!</definedName>
    <definedName name="RWC2019startsam">SAM!$Y$7</definedName>
    <definedName name="RWC2019startsco">SCO!$Y$12</definedName>
    <definedName name="RWCstartton">TGA!#REF!</definedName>
    <definedName name="RWCstartUru">URU!#REF!</definedName>
    <definedName name="RWCstartUSA">USA!#REF!</definedName>
    <definedName name="RWCstartwal">WAL!$Y$12</definedName>
    <definedName name="sainstpotriesconcededcorrect">ITA!#REF!</definedName>
    <definedName name="sainstpowon">ITA!#REF!</definedName>
    <definedName name="saintsbonus">ITA!#REF!</definedName>
    <definedName name="saintsconceded">ITA!#REF!</definedName>
    <definedName name="saintsdrawn">ITA!#REF!</definedName>
    <definedName name="saintslosingbonus">ITA!#REF!</definedName>
    <definedName name="saintslosingbonusconceded">ITA!#REF!</definedName>
    <definedName name="saintslost">ITA!#REF!</definedName>
    <definedName name="saintsplayed">ITA!#REF!</definedName>
    <definedName name="saintspoconceded">ITA!#REF!</definedName>
    <definedName name="saintspodrawn">ITA!#REF!</definedName>
    <definedName name="saintspolost">ITA!#REF!</definedName>
    <definedName name="saintspoplayed">ITA!#REF!</definedName>
    <definedName name="saintspored">ITA!#REF!</definedName>
    <definedName name="saintsposcored">ITA!#REF!</definedName>
    <definedName name="saintspotriesconceded">ITA!#REF!</definedName>
    <definedName name="saintspotriesscored">ITA!#REF!</definedName>
    <definedName name="Saintspoyellow">ITA!#REF!</definedName>
    <definedName name="saintsred">ITA!#REF!</definedName>
    <definedName name="saintsscored">ITA!#REF!</definedName>
    <definedName name="saintstriesconceded">ITA!#REF!</definedName>
    <definedName name="saintstriesscored">ITA!#REF!</definedName>
    <definedName name="saintstrybonus">ITA!#REF!</definedName>
    <definedName name="saintstrybonusconceded">ITA!#REF!</definedName>
    <definedName name="saintswon">ITA!#REF!</definedName>
    <definedName name="saintsyellow">ITA!#REF!</definedName>
    <definedName name="salebonus">JPN!#REF!</definedName>
    <definedName name="saleconceded">JPN!#REF!</definedName>
    <definedName name="saledrawn">JPN!#REF!</definedName>
    <definedName name="salelosingbonus">JPN!#REF!</definedName>
    <definedName name="salelosingbonusconceded">JPN!#REF!</definedName>
    <definedName name="salelost">JPN!#REF!</definedName>
    <definedName name="saleplayed">JPN!#REF!</definedName>
    <definedName name="salepremptsdagainst">[1]SAL!$G$37</definedName>
    <definedName name="salepremptsscored">[1]SAL!$F$37</definedName>
    <definedName name="salepremred">[2]SAL!$O$39</definedName>
    <definedName name="salepremseasontotalsdgs">[1]SAL!$L$39</definedName>
    <definedName name="salepremseasontotalsdrawn">[1]SAL!$AA$39</definedName>
    <definedName name="salepremseasontotalslost">[1]SAL!$AB$39</definedName>
    <definedName name="salepremseasontotalsplayed">[1]SAL!$Y$39</definedName>
    <definedName name="salepremseasontotalsRC">[1]SAL!$O$39</definedName>
    <definedName name="salepremseasontotalstriesconceded">[1]SAL!$R$39</definedName>
    <definedName name="salepremseasontotalstriesscored">[1]SAL!$J$39</definedName>
    <definedName name="salepremseasontotalswon">[1]SAL!$Z$39</definedName>
    <definedName name="salepremseasontotalsYC">[1]SAL!$N$39</definedName>
    <definedName name="salepremtrybonusconc">[1]SAL!$P$37</definedName>
    <definedName name="salepremtrybonusscored">[1]SAL!$H$37</definedName>
    <definedName name="salepremyellow">[2]SAL!$N$39</definedName>
    <definedName name="salered">JPN!#REF!</definedName>
    <definedName name="salescored">JPN!#REF!</definedName>
    <definedName name="saletriesconceded">JPN!#REF!</definedName>
    <definedName name="saletriesscored">JPN!#REF!</definedName>
    <definedName name="saletrybonus">JPN!#REF!</definedName>
    <definedName name="saletrybonusconceded">JPN!#REF!</definedName>
    <definedName name="salewon">JPN!#REF!</definedName>
    <definedName name="saleyellow">JPN!#REF!</definedName>
    <definedName name="Sam2019alltestsdrawn">SAM!$AA$12</definedName>
    <definedName name="Sam2019alltestslost">SAM!$AB$12</definedName>
    <definedName name="Sam2019alltestsplayed">SAM!$Y$12</definedName>
    <definedName name="Sam2019alltestsptscon">SAM!$G$12</definedName>
    <definedName name="Sam2019alltestsptsscored">SAM!$F$12</definedName>
    <definedName name="Sam2019allteststriescon">SAM!$R$12</definedName>
    <definedName name="Sam2019allteststriescored">SAM!$J$12</definedName>
    <definedName name="Sam2019alltestswon">SAM!$Z$12</definedName>
    <definedName name="Sam2019pooldrawn">SAM!#REF!</definedName>
    <definedName name="Sam2019poollbcon">SAM!#REF!</definedName>
    <definedName name="Sam2019poollbscored">SAM!#REF!</definedName>
    <definedName name="Sam2019poollost">SAM!#REF!</definedName>
    <definedName name="Sam2019poolplayed">SAM!#REF!</definedName>
    <definedName name="Sam2019poolptscon">SAM!#REF!</definedName>
    <definedName name="Sam2019poolptsscored">SAM!#REF!</definedName>
    <definedName name="Sam2019pooltbcon">SAM!#REF!</definedName>
    <definedName name="Sam2019pooltbscored">SAM!#REF!</definedName>
    <definedName name="Sam2019pooltriescon">SAM!#REF!</definedName>
    <definedName name="Sam2019pooltriesscored">SAM!#REF!</definedName>
    <definedName name="Sam2019poolwon">SAM!#REF!</definedName>
    <definedName name="Sam2019RWCdrawn">SAM!#REF!</definedName>
    <definedName name="Sam2019RWClost">SAM!#REF!</definedName>
    <definedName name="Sam2019RWCplayed">SAM!#REF!</definedName>
    <definedName name="Sam2019RWCptscon">SAM!#REF!</definedName>
    <definedName name="Sam2019RWCptsscored">SAM!#REF!</definedName>
    <definedName name="SAM2019rwcRC">SAM!#REF!</definedName>
    <definedName name="Sam2019RWCtriescon">SAM!#REF!</definedName>
    <definedName name="Sam2019RWCtriescored">SAM!#REF!</definedName>
    <definedName name="Sam2019RWCwon">SAM!#REF!</definedName>
    <definedName name="Sam2019RWCyc">SAM!#REF!</definedName>
    <definedName name="Samalltestshistdrawn">Sum!$E$17</definedName>
    <definedName name="Samalltestshistlost">Sum!$D$17</definedName>
    <definedName name="Samalltestshistplayed">Sum!$B$17</definedName>
    <definedName name="Samalltestshistptscon">Sum!$H$17</definedName>
    <definedName name="Samalltestshistptsscored">Sum!$G$17</definedName>
    <definedName name="SamalltestshistTRIESSCORED">Sum!$I$17</definedName>
    <definedName name="Samalltestshistwon">Sum!$C$17</definedName>
    <definedName name="samlb">SAM!#REF!</definedName>
    <definedName name="samlbcon">SAM!#REF!</definedName>
    <definedName name="samoveralldrawn">SAM!#REF!</definedName>
    <definedName name="samoveralllost">SAM!#REF!</definedName>
    <definedName name="samoverallpld">SAM!#REF!</definedName>
    <definedName name="samoverallptsag">SAM!#REF!</definedName>
    <definedName name="samoverallptsscored">SAM!#REF!</definedName>
    <definedName name="samoveralltriescon">SAM!#REF!</definedName>
    <definedName name="samoveralltriesscored">SAM!#REF!</definedName>
    <definedName name="samoverallwon">SAM!#REF!</definedName>
    <definedName name="sampooldrawn">SAM!#REF!</definedName>
    <definedName name="sampoollost">SAM!#REF!</definedName>
    <definedName name="sampoolpld">SAM!#REF!</definedName>
    <definedName name="sampoolptsag">SAM!#REF!</definedName>
    <definedName name="sampoolptsscored">SAM!#REF!</definedName>
    <definedName name="sampooltriescon">SAM!#REF!</definedName>
    <definedName name="sampooltriesscored">SAM!#REF!</definedName>
    <definedName name="sampoolwon">SAM!#REF!</definedName>
    <definedName name="samred">SAM!#REF!</definedName>
    <definedName name="SamRWChistdrawn">Sum!$E$44</definedName>
    <definedName name="SamRWChistlost">Sum!$D$44</definedName>
    <definedName name="SamRWChistplayed">Sum!$B$44</definedName>
    <definedName name="SamRWChistptscon">Sum!$H$44</definedName>
    <definedName name="SamRWChistptsscored">Sum!$G$44</definedName>
    <definedName name="SamRWChisttriesscored">Sum!$I$44</definedName>
    <definedName name="SamRWChistwon">Sum!$C$44</definedName>
    <definedName name="samtb">SAM!#REF!</definedName>
    <definedName name="samtbcon">SAM!#REF!</definedName>
    <definedName name="samyellow">SAM!#REF!</definedName>
    <definedName name="saracenspoconceded">#REF!</definedName>
    <definedName name="saracenspolost">#REF!</definedName>
    <definedName name="saracenspoplayed">#REF!</definedName>
    <definedName name="saracenspored">#REF!</definedName>
    <definedName name="saracensposcored">#REF!</definedName>
    <definedName name="saracenspotriesconceded">#REF!</definedName>
    <definedName name="saracenspotriesscored">#REF!</definedName>
    <definedName name="saracenspowon">#REF!</definedName>
    <definedName name="saracenspoyellow">#REF!</definedName>
    <definedName name="saracenspremred">[2]SAR!$O$42</definedName>
    <definedName name="saracenspremtotalsdrawn">[1]SAR!$AA$44</definedName>
    <definedName name="saracenspremtrybonusconc">[1]SAR!$P$42</definedName>
    <definedName name="saracenspremtrybonusscored">[1]SAR!$H$42</definedName>
    <definedName name="saracenspremyellow">[2]SAR!$N$42</definedName>
    <definedName name="Sarpremtotalsdgs">[1]SAR!$L$44</definedName>
    <definedName name="Sarpremtotalslost">[1]SAR!$AB$44</definedName>
    <definedName name="Sarpremtotalsplayed">[1]SAR!$Y$44</definedName>
    <definedName name="Sarpremtotalsptsagainst">[1]SAR!$G$44</definedName>
    <definedName name="Sarpremtotalsptsscored">[1]SAR!$F$44</definedName>
    <definedName name="Sarpremtotalsrc">[1]SAR!$O$44</definedName>
    <definedName name="Sarpremtotalstriesconceded">[1]SAR!$R$44</definedName>
    <definedName name="Sarpremtotalstriesscored">[1]SAR!$J$44</definedName>
    <definedName name="Sarpremtotalswon">[1]SAR!$Z$44</definedName>
    <definedName name="Sarpremtotalsyc">[1]SAR!$N$44</definedName>
    <definedName name="sarriesbonus">#REF!</definedName>
    <definedName name="sarriesconceded">#REF!</definedName>
    <definedName name="sarriesdrawn">#REF!</definedName>
    <definedName name="sarrieslosingbonus">#REF!</definedName>
    <definedName name="sarrieslosingbonusconceded">#REF!</definedName>
    <definedName name="sarrieslost">#REF!</definedName>
    <definedName name="sarriesplayed">#REF!</definedName>
    <definedName name="sarriesred">#REF!</definedName>
    <definedName name="sarriesscored">#REF!</definedName>
    <definedName name="sarriestriesconceded">#REF!</definedName>
    <definedName name="sarriestriesscored">#REF!</definedName>
    <definedName name="sarriestrybonus">#REF!</definedName>
    <definedName name="sarriestrybonusconceded">#REF!</definedName>
    <definedName name="sarrieswon">#REF!</definedName>
    <definedName name="sarriesyellow">#REF!</definedName>
    <definedName name="Sco2019alltestsdrawn">SCO!$AA$16</definedName>
    <definedName name="Sco2019alltestslost">SCO!$AB$16</definedName>
    <definedName name="Sco2019alltestsplayed">SCO!$Y$16</definedName>
    <definedName name="Sco2019alltestsptsagainst">SCO!$G$16</definedName>
    <definedName name="Sco2019alltestsptsscored">SCO!$F$16</definedName>
    <definedName name="Sco2019allteststriescon">SCO!$R$16</definedName>
    <definedName name="Sco2019allteststriesscored">SCO!$J$16</definedName>
    <definedName name="Sco2019alltestswon">SCO!$Z$16</definedName>
    <definedName name="Sco2019pooldrawn">SCO!$AA$15</definedName>
    <definedName name="Sco2019poollbcon">SCO!$Q$15</definedName>
    <definedName name="Sco2019poollbscored">SCO!$I$15</definedName>
    <definedName name="sco2019poollost">SCO!$AB$15</definedName>
    <definedName name="Sco2019poolplayed">SCO!$Y$15</definedName>
    <definedName name="Sco2019poolptsagainst">SCO!$G$15</definedName>
    <definedName name="Sco2019poolptsscored">SCO!$F$15</definedName>
    <definedName name="Sco2019pooltbcon">SCO!$P$15</definedName>
    <definedName name="Sco2019pooltbscored">SCO!$H$15</definedName>
    <definedName name="Sco2019pooltriescon">SCO!$R$15</definedName>
    <definedName name="Sco2019pooltriesscored">SCO!$J$15</definedName>
    <definedName name="Sco2019poolwon">SCO!$Z$15</definedName>
    <definedName name="Sco2019RWCdrawn">SCO!#REF!</definedName>
    <definedName name="Sco2019RWClost">SCO!#REF!</definedName>
    <definedName name="Sco2019RWCplayed">SCO!#REF!</definedName>
    <definedName name="Sco2019RWCptscon">SCO!#REF!</definedName>
    <definedName name="Sco2019RWCptsscored">SCO!#REF!</definedName>
    <definedName name="Sco2019RWCrc">SCO!#REF!</definedName>
    <definedName name="Sco2019RWCtriescon">SCO!#REF!</definedName>
    <definedName name="Sco2019RWCtriesscored">SCO!#REF!</definedName>
    <definedName name="Sco2019RWCwon">SCO!#REF!</definedName>
    <definedName name="Sco2019RWCyc">SCO!#REF!</definedName>
    <definedName name="scolb">SCO!#REF!</definedName>
    <definedName name="scolbcon">SCO!#REF!</definedName>
    <definedName name="scooveralldrawn">SCO!#REF!</definedName>
    <definedName name="scooveralllost">SCO!#REF!</definedName>
    <definedName name="scooverallpld">SCO!#REF!</definedName>
    <definedName name="scooverallptsag">SCO!#REF!</definedName>
    <definedName name="scooverallptsscored">SCO!#REF!</definedName>
    <definedName name="scooveralltriescon">SCO!#REF!</definedName>
    <definedName name="scooveralltriesscored">SCO!#REF!</definedName>
    <definedName name="scooverallwon">SCO!#REF!</definedName>
    <definedName name="scopooldrawn">SCO!#REF!</definedName>
    <definedName name="scopoollost">SCO!#REF!</definedName>
    <definedName name="scopoolpld">SCO!#REF!</definedName>
    <definedName name="scopoolptsag">SCO!#REF!</definedName>
    <definedName name="scopoolptsscored">SCO!#REF!</definedName>
    <definedName name="scopooltriescon">SCO!#REF!</definedName>
    <definedName name="scopooltriesscored">SCO!#REF!</definedName>
    <definedName name="scopoolwon">SCO!#REF!</definedName>
    <definedName name="scored">SCO!#REF!</definedName>
    <definedName name="scotb">SCO!#REF!</definedName>
    <definedName name="scotbcon">SCO!#REF!</definedName>
    <definedName name="Scotlandalltestshistdrawn">Sum!$E$18</definedName>
    <definedName name="Scotlandalltestshistlost">Sum!$D$18</definedName>
    <definedName name="Scotlandalltestshistplayed">Sum!$B$18</definedName>
    <definedName name="Scotlandalltestshistptscon">Sum!$H$18</definedName>
    <definedName name="Scotlandalltestshistptsscored">Sum!$G$18</definedName>
    <definedName name="Scotlandalltestshisttriesscored">Sum!$I$18</definedName>
    <definedName name="Scotlandalltestshistwon">Sum!$C$18</definedName>
    <definedName name="Scotlanddrawn">SCO!$AA$13</definedName>
    <definedName name="Scotlandlosingbonus">SCO!$I$13</definedName>
    <definedName name="Scotlandlost">SCO!$AB$13</definedName>
    <definedName name="Scotlandplayed">SCO!$Y$13</definedName>
    <definedName name="Scotlandptsagainst">SCO!$G$13</definedName>
    <definedName name="Scotlandptsscored">SCO!$F$13</definedName>
    <definedName name="Scotlandred">SCO!$O$13</definedName>
    <definedName name="ScotlandRWChistdrawn">Sum!$E$45</definedName>
    <definedName name="ScotlandRWChistlost">Sum!$D$45</definedName>
    <definedName name="ScotlandRWChistplayed">Sum!$B$45</definedName>
    <definedName name="ScotlandRWChistptscon">Sum!$H$45</definedName>
    <definedName name="ScotlandRWChistptsscored">Sum!$G$45</definedName>
    <definedName name="ScotlandRWChisttriesscored">Sum!$I$45</definedName>
    <definedName name="ScotlandRWChistwon">Sum!$C$45</definedName>
    <definedName name="Scotlandtriesagainst">SCO!$R$13</definedName>
    <definedName name="Scotlandtriesscored">SCO!$J$13</definedName>
    <definedName name="Scotlandtrybonus">SCO!$H$13</definedName>
    <definedName name="Scotlandwon">SCO!$Z$13</definedName>
    <definedName name="Scotlandyellow">SCO!$N$13</definedName>
    <definedName name="scoyellow">SCO!#REF!</definedName>
    <definedName name="tgalb">TGA!#REF!</definedName>
    <definedName name="tgalbcon">TGA!#REF!</definedName>
    <definedName name="tgaoveralldrawn">TGA!#REF!</definedName>
    <definedName name="tgaoveralllost">TGA!#REF!</definedName>
    <definedName name="tgaoverallpld">TGA!#REF!</definedName>
    <definedName name="tgaoverallptsag">TGA!#REF!</definedName>
    <definedName name="tgaoverallptsscored">TGA!#REF!</definedName>
    <definedName name="tgaoveralltriescon">TGA!#REF!</definedName>
    <definedName name="tgaoveralltriesscored">TGA!#REF!</definedName>
    <definedName name="tgaoveralltriesscoredcorr">TGA!#REF!</definedName>
    <definedName name="tgaoverallwon">TGA!#REF!</definedName>
    <definedName name="tgaovralltriesscoredcorrect">TGA!#REF!</definedName>
    <definedName name="tgapooldrawn">TGA!#REF!</definedName>
    <definedName name="tgapoollost">TGA!#REF!</definedName>
    <definedName name="tgapoolpld">TGA!#REF!</definedName>
    <definedName name="tgapoolptsag">TGA!#REF!</definedName>
    <definedName name="tgapoolptsscored">TGA!#REF!</definedName>
    <definedName name="tgapooltriescon">TGA!#REF!</definedName>
    <definedName name="tgapooltriesscored">TGA!#REF!</definedName>
    <definedName name="tgapoolwon">TGA!#REF!</definedName>
    <definedName name="tgared">TGA!#REF!</definedName>
    <definedName name="tgatb">TGA!#REF!</definedName>
    <definedName name="tgatbcon">TGA!#REF!</definedName>
    <definedName name="tgayellow">TGA!#REF!</definedName>
    <definedName name="Ton2019alltestsdrawn">TGA!$AA$7</definedName>
    <definedName name="Ton2019alltestslost">TGA!$AB$7</definedName>
    <definedName name="Ton2019alltestsplayed">TGA!$Y$7</definedName>
    <definedName name="Ton2019alltestsptscon">TGA!$G$7</definedName>
    <definedName name="Ton2019alltestsptsscored">TGA!$F$7</definedName>
    <definedName name="Ton2019allteststriescon">TGA!$R$7</definedName>
    <definedName name="Ton2019allteststriesscored">TGA!$J$7</definedName>
    <definedName name="Ton2019alltestswon">TGA!$Z$7</definedName>
    <definedName name="Ton2019pooldrawn">TGA!#REF!</definedName>
    <definedName name="Ton2019poollbcon">TGA!#REF!</definedName>
    <definedName name="Ton2019poollbscored">TGA!#REF!</definedName>
    <definedName name="Ton2019poollost">TGA!#REF!</definedName>
    <definedName name="Ton2019poolplayed">TGA!#REF!</definedName>
    <definedName name="Ton2019poolplayedcorrect">TGA!#REF!</definedName>
    <definedName name="Ton2019poolptscon">TGA!#REF!</definedName>
    <definedName name="Ton2019poolptsscored">TGA!#REF!</definedName>
    <definedName name="Ton2019poolrtbcon">TGA!#REF!</definedName>
    <definedName name="Ton2019pooltbscored">TGA!#REF!</definedName>
    <definedName name="Ton2019pooltriescon">TGA!#REF!</definedName>
    <definedName name="Ton2019pooltriesscored">TGA!#REF!</definedName>
    <definedName name="Ton2019poolwon">TGA!#REF!</definedName>
    <definedName name="Ton2019RWCdrawn">TGA!#REF!</definedName>
    <definedName name="Ton2019RWClost">TGA!#REF!</definedName>
    <definedName name="Ton2019RWCplayed">TGA!#REF!</definedName>
    <definedName name="Ton2019RWCptscon">TGA!#REF!</definedName>
    <definedName name="Ton2019RWCptsscored">TGA!#REF!</definedName>
    <definedName name="Ton2019RWCrc">TGA!#REF!</definedName>
    <definedName name="Ton2019RWCtriescon">TGA!#REF!</definedName>
    <definedName name="Ton2019RWCtriesscored">TGA!#REF!</definedName>
    <definedName name="Ton2019RWCwon">TGA!#REF!</definedName>
    <definedName name="Ton2019RWCyc">TGA!#REF!</definedName>
    <definedName name="Tongaalltestshistdrawn">Sum!$E$20</definedName>
    <definedName name="Tongaalltestshistlost">Sum!$D$20</definedName>
    <definedName name="Tongaalltestshistplayed">Sum!$B$20</definedName>
    <definedName name="Tongaalltestshistptsagainst">Sum!$H$20</definedName>
    <definedName name="Tongaalltestshistptsscored">Sum!$G$20</definedName>
    <definedName name="Tongaalltestshisttriesscored">Sum!$I$20</definedName>
    <definedName name="Tongaalltestshistwon">Sum!$C$20</definedName>
    <definedName name="TongaRWChistdrawn">Sum!$E$48</definedName>
    <definedName name="TongaRWChistlost">Sum!$D$48</definedName>
    <definedName name="TongaRWChistplayed">Sum!$B$48</definedName>
    <definedName name="TongaRWChistptscon">Sum!$H$48</definedName>
    <definedName name="TongaRWChistptsscored">Sum!$G$48</definedName>
    <definedName name="TongaRWChisttriesscored">Sum!$I$48</definedName>
    <definedName name="TongaRWChistwon">Sum!$C$48</definedName>
    <definedName name="triesscored">ENG!#REF!</definedName>
    <definedName name="United_Statesalltestshistdrawn">Sum!$E$21</definedName>
    <definedName name="United_Statesalltestshistlost">Sum!$D$21</definedName>
    <definedName name="United_Statesalltestshistplayed">Sum!$B$21</definedName>
    <definedName name="United_Statesalltestshistptscon">Sum!$H$21</definedName>
    <definedName name="United_Statesalltestshistptsscored">Sum!$G$21</definedName>
    <definedName name="United_Statesalltestshisttriesscored">Sum!$I$21</definedName>
    <definedName name="United_Statesalltestshistwon">Sum!$C$21</definedName>
    <definedName name="United_StatesRWChistdrawn">Sum!$E$49</definedName>
    <definedName name="United_StatesRWChistlost">Sum!$D$49</definedName>
    <definedName name="United_StatesRWChistplayed">Sum!$B$49</definedName>
    <definedName name="United_StatesRWChistptscon">Sum!$H$49</definedName>
    <definedName name="United_StatesRWChistptsscored">Sum!$G$49</definedName>
    <definedName name="United_StatesRWChisttriesscored">Sum!$I$49</definedName>
    <definedName name="United_StatesRWChistwon">Sum!$C$49</definedName>
    <definedName name="Uru2019alltestsdrawn">URU!$AA$6</definedName>
    <definedName name="Uru2019alltestslost">URU!$AB$6</definedName>
    <definedName name="Uru2019alltestsplayed">URU!$F$6</definedName>
    <definedName name="Uru2019alltestsplayedcorrect">URU!$Y$6</definedName>
    <definedName name="Uru2019alltestsptscon">URU!$G$6</definedName>
    <definedName name="Uru2019alltestsptsscored">URU!$F$6</definedName>
    <definedName name="Uru2019allteststriescon">URU!$J$6</definedName>
    <definedName name="Uru2019allteststriesconcorrect">URU!$R$6</definedName>
    <definedName name="Uru2019allteststriesscored">URU!$J$6</definedName>
    <definedName name="Uru2019alltestswon">URU!$Z$6</definedName>
    <definedName name="Uru2019pooldrawn">URU!#REF!</definedName>
    <definedName name="Uru2019poollbcon">URU!#REF!</definedName>
    <definedName name="Uru2019poollbscored">URU!#REF!</definedName>
    <definedName name="Uru2019poollost">URU!#REF!</definedName>
    <definedName name="Uru2019poolplayed">URU!#REF!</definedName>
    <definedName name="Uru2019poolptsagainst">URU!#REF!</definedName>
    <definedName name="Uru2019poolptscon">URU!#REF!</definedName>
    <definedName name="Uru2019poolptsconcorrect">URU!#REF!</definedName>
    <definedName name="Uru2019poolptsscored">URU!#REF!</definedName>
    <definedName name="Uru2019pooltbcon">URU!#REF!</definedName>
    <definedName name="Uru2019pooltbscored">URU!#REF!</definedName>
    <definedName name="Uru2019pooltriescon">URU!#REF!</definedName>
    <definedName name="Uru2019pooltriesscored">URU!#REF!</definedName>
    <definedName name="uru2019poolwon">URU!#REF!</definedName>
    <definedName name="Uru2019RWCdrawn">URU!#REF!</definedName>
    <definedName name="Uru2019RWClostcorrect">URU!#REF!</definedName>
    <definedName name="Uru2019RWCplayed">URU!#REF!</definedName>
    <definedName name="Uru2019RWCptscon">URU!#REF!</definedName>
    <definedName name="Uru2019RWCptsscored">URU!#REF!</definedName>
    <definedName name="Uru2019RWCrc">URU!#REF!</definedName>
    <definedName name="Uru2019RWCtriescon">URU!#REF!</definedName>
    <definedName name="Uru2019RWCtriesscored">URU!#REF!</definedName>
    <definedName name="Uru2019RWCwon">URU!#REF!</definedName>
    <definedName name="Uru2019RWCyc">URU!#REF!</definedName>
    <definedName name="Urualltestshistdrawn">Sum!$E$22</definedName>
    <definedName name="Urualltestshistlost">Sum!$D$22</definedName>
    <definedName name="Urualltestshistplayed">Sum!$B$22</definedName>
    <definedName name="Urualltestshistptscon">Sum!$H$22</definedName>
    <definedName name="Urualltestshistptsscored">Sum!$G$22</definedName>
    <definedName name="Urualltestshisttriesscored">Sum!$I$22</definedName>
    <definedName name="Urualltestshistwon">Sum!$C$22</definedName>
    <definedName name="urulb">URU!#REF!</definedName>
    <definedName name="urulbcon">URU!#REF!</definedName>
    <definedName name="uruoveralldrawn">URU!#REF!</definedName>
    <definedName name="uruoveralllost">URU!#REF!</definedName>
    <definedName name="uruoverallpld">URU!#REF!</definedName>
    <definedName name="uruoverallptsag">URU!#REF!</definedName>
    <definedName name="uruoverallptsscored">URU!#REF!</definedName>
    <definedName name="uruoveralltriescon">URU!#REF!</definedName>
    <definedName name="uruoveralltriesscored">URU!#REF!</definedName>
    <definedName name="uruoverallwon">URU!#REF!</definedName>
    <definedName name="urupooldrawn">URU!#REF!</definedName>
    <definedName name="urupoollost">URU!#REF!</definedName>
    <definedName name="urupoolpld">URU!#REF!</definedName>
    <definedName name="urupoolptsag">URU!#REF!</definedName>
    <definedName name="urupoolptsscored">URU!#REF!</definedName>
    <definedName name="urupooltriesscored">URU!#REF!</definedName>
    <definedName name="urupoolwon">URU!#REF!</definedName>
    <definedName name="urured">URU!#REF!</definedName>
    <definedName name="UruRWChistdrawn">Sum!$E$50</definedName>
    <definedName name="UruRWChistlost">Sum!$D$50</definedName>
    <definedName name="UruRWChistplayed">Sum!$B$50</definedName>
    <definedName name="UruRWChistptscon">Sum!$H$50</definedName>
    <definedName name="UruRWChistptsscored">Sum!$G$50</definedName>
    <definedName name="UruRWChisttriesscored">Sum!$I$50</definedName>
    <definedName name="UruRWChistwon">Sum!$C$50</definedName>
    <definedName name="urutb">URU!#REF!</definedName>
    <definedName name="urutbcon">URU!#REF!</definedName>
    <definedName name="urutriescon">URU!#REF!</definedName>
    <definedName name="uruyellow">URU!#REF!</definedName>
    <definedName name="USA2019alltestsdrawn">USA!$AA$5</definedName>
    <definedName name="USA2019alltestslost">USA!$AB$5</definedName>
    <definedName name="USA2019alltestsplayed">USA!$Y$5</definedName>
    <definedName name="USA2019alltestsptscon">USA!$G$5</definedName>
    <definedName name="USA2019alltestsptsscored">USA!$F$5</definedName>
    <definedName name="USA2019allteststriescon">USA!$R$5</definedName>
    <definedName name="USA2019allteststriesscored">USA!$J$5</definedName>
    <definedName name="USA2019alltestswon">USA!$Z$5</definedName>
    <definedName name="USA2019pooldrawn">USA!#REF!</definedName>
    <definedName name="USA2019poollbcon">USA!#REF!</definedName>
    <definedName name="USA2019poollbscored">USA!#REF!</definedName>
    <definedName name="USA2019poollost">USA!#REF!</definedName>
    <definedName name="USA2019poolplayed">USA!#REF!</definedName>
    <definedName name="USA2019poolptscon">USA!#REF!</definedName>
    <definedName name="USA2019poolptsscored">USA!#REF!</definedName>
    <definedName name="USA2019pooltbcon">USA!#REF!</definedName>
    <definedName name="USA2019pooltbscored">USA!#REF!</definedName>
    <definedName name="USA2019pooltriescon">USA!#REF!</definedName>
    <definedName name="USA2019pooltriesscored">USA!#REF!</definedName>
    <definedName name="USA2019poolwon">USA!#REF!</definedName>
    <definedName name="USA2019RWCdrawn">USA!#REF!</definedName>
    <definedName name="USA2019RWClost">USA!#REF!</definedName>
    <definedName name="USA2019RWCplayed">USA!#REF!</definedName>
    <definedName name="USA2019RWCptscon">USA!#REF!</definedName>
    <definedName name="USA2019RWCptsscored">USA!#REF!</definedName>
    <definedName name="USA2019RWCrc">USA!#REF!</definedName>
    <definedName name="USA2019RWCtriescon">USA!#REF!</definedName>
    <definedName name="USA2019RWCtriesscored">USA!#REF!</definedName>
    <definedName name="USA2019RWCwon">USA!#REF!</definedName>
    <definedName name="USA2019RWCyc">USA!#REF!</definedName>
    <definedName name="usalb">USA!#REF!</definedName>
    <definedName name="usalbcon">USA!#REF!</definedName>
    <definedName name="usaoveralldrawn">USA!#REF!</definedName>
    <definedName name="usaoveralllost">USA!#REF!</definedName>
    <definedName name="usaoverallpld">USA!#REF!</definedName>
    <definedName name="usaoverallptsag">USA!#REF!</definedName>
    <definedName name="usaoverallptsscored">USA!#REF!</definedName>
    <definedName name="usaoveralltriescon">USA!#REF!</definedName>
    <definedName name="usaoveralltriesscored">USA!#REF!</definedName>
    <definedName name="usaoverallwon">USA!#REF!</definedName>
    <definedName name="usapooldrawn">USA!#REF!</definedName>
    <definedName name="usapoollost">USA!#REF!</definedName>
    <definedName name="usapoolpld">USA!#REF!</definedName>
    <definedName name="usapoolptsag">USA!#REF!</definedName>
    <definedName name="usapoolptsscored">USA!#REF!</definedName>
    <definedName name="usapooltriescon">USA!#REF!</definedName>
    <definedName name="usapooltriesscored">USA!#REF!</definedName>
    <definedName name="usapoolwon">USA!#REF!</definedName>
    <definedName name="usared">USA!#REF!</definedName>
    <definedName name="usatb">USA!#REF!</definedName>
    <definedName name="usatbcon">USA!#REF!</definedName>
    <definedName name="usayellow">USA!#REF!</definedName>
    <definedName name="vdrawn">FIJ!#REF!</definedName>
    <definedName name="vlost">SCO!$AB$15</definedName>
    <definedName name="vrc">SAM!#REF!</definedName>
    <definedName name="vtriesscored">Sum!$I$17</definedName>
    <definedName name="vwon">URU!#REF!</definedName>
    <definedName name="Wal2019alltestsdrawn">WAL!$AA$16</definedName>
    <definedName name="Wal2019alltestslostcorrect">WAL!$AB$16</definedName>
    <definedName name="Wal2019alltestsplayed">WAL!$Y$16</definedName>
    <definedName name="Wal2019alltestsptscon">WAL!$G$16</definedName>
    <definedName name="Wal2019alltestsptsscored">WAL!$F$16</definedName>
    <definedName name="Wal2019allteststriescon">WAL!$R$16</definedName>
    <definedName name="Wal2019allteststriesscored">WAL!$J$16</definedName>
    <definedName name="Wal2019alltestswon">WAL!$Z$16</definedName>
    <definedName name="Wal2019pooldrawn">WAL!$AA$15</definedName>
    <definedName name="Wal2019poollbcon">WAL!$Q$15</definedName>
    <definedName name="Wal2019poollbscored">WAL!$I$15</definedName>
    <definedName name="Wal2019poollostcorrect">WAL!$AB$15</definedName>
    <definedName name="Wal2019poolplayed">WAL!$Y$15</definedName>
    <definedName name="Wal2019poolptscon">WAL!$G$15</definedName>
    <definedName name="Wal2019poolptsscored">WAL!$F$15</definedName>
    <definedName name="Wal2019pooltbcon">WAL!$P$15</definedName>
    <definedName name="Wal2019pooltbscored">WAL!$H$15</definedName>
    <definedName name="Wal2019pooltriescon">WAL!$R$15</definedName>
    <definedName name="Wal2019pooltriesscored">WAL!$J$15</definedName>
    <definedName name="Wal2019poolwon">WAL!$Z$15</definedName>
    <definedName name="Wal2019RWCdrawn">WAL!#REF!</definedName>
    <definedName name="Wal2019RWClost">WAL!#REF!</definedName>
    <definedName name="Wal2019RWCplayed">WAL!#REF!</definedName>
    <definedName name="Wal2019RWCptscon">WAL!#REF!</definedName>
    <definedName name="Wal2019RWCptsscored">WAL!#REF!</definedName>
    <definedName name="Wal2019RWCrc">WAL!#REF!</definedName>
    <definedName name="Wal2019RWCtriescon">WAL!#REF!</definedName>
    <definedName name="Wal2019RWCtriesscored">WAL!#REF!</definedName>
    <definedName name="Wal2019RWCwon">WAL!#REF!</definedName>
    <definedName name="Wal2019RWCyc">WAL!#REF!</definedName>
    <definedName name="Walesalltestshistdrawn">Sum!$E$23</definedName>
    <definedName name="Walesalltestshistlost">Sum!$D$23</definedName>
    <definedName name="Walesalltestshistplayed">Sum!$B$23</definedName>
    <definedName name="Walesalltestshistptscon">Sum!$H$23</definedName>
    <definedName name="Walesalltestshistptsscored">Sum!$G$23</definedName>
    <definedName name="Walesalltestshisttriesscored">Sum!$I$23</definedName>
    <definedName name="Walesalltestshistwon">Sum!$C$23</definedName>
    <definedName name="Walesdrawn">WAL!$AA$13</definedName>
    <definedName name="Waleslosingbonus">WAL!$I$13</definedName>
    <definedName name="Waleslost">WAL!$AB$13</definedName>
    <definedName name="Walesplayed">WAL!$Y$13</definedName>
    <definedName name="Walesptsagainst">WAL!$G$13</definedName>
    <definedName name="Walesptsscored">WAL!$F$13</definedName>
    <definedName name="Walesred">WAL!$O$13</definedName>
    <definedName name="WalesRWChistdrawn">Sum!$E$51</definedName>
    <definedName name="WalesRWChistlost">Sum!$D$51</definedName>
    <definedName name="WalesRWChistplayed">Sum!$B$51</definedName>
    <definedName name="WalesRWChistptscon">Sum!$H$51</definedName>
    <definedName name="WalesRWChistptsscored">Sum!$G$51</definedName>
    <definedName name="WalesRWChisttriesscored">Sum!$I$51</definedName>
    <definedName name="WalesRWChistwon">Sum!$C$51</definedName>
    <definedName name="Walestriesagainst">WAL!$R$13</definedName>
    <definedName name="Walestriesscored">WAL!$J$13</definedName>
    <definedName name="Walestrybonus">WAL!$H$13</definedName>
    <definedName name="Waleswon">WAL!$Z$13</definedName>
    <definedName name="Walesyellow">WAL!$N$13</definedName>
    <definedName name="wallb">WAL!#REF!</definedName>
    <definedName name="wallbcon">WAL!#REF!</definedName>
    <definedName name="waloveralldrawn">WAL!#REF!</definedName>
    <definedName name="waloveralllost">WAL!#REF!</definedName>
    <definedName name="waloverallpld">WAL!#REF!</definedName>
    <definedName name="waloverallptsscored">WAL!#REF!</definedName>
    <definedName name="waloveralltriescon">WAL!#REF!</definedName>
    <definedName name="waloveralltriesconcorr">WAL!#REF!</definedName>
    <definedName name="waloveralltriesscored">WAL!#REF!</definedName>
    <definedName name="waloverallwon">WAL!#REF!</definedName>
    <definedName name="walpooldrawn">WAL!#REF!</definedName>
    <definedName name="walpoollost">WAL!#REF!</definedName>
    <definedName name="walpoolpld">WAL!#REF!</definedName>
    <definedName name="walpoolptsag">WAL!#REF!</definedName>
    <definedName name="walpoolptsscored">WAL!#REF!</definedName>
    <definedName name="walpooltriescon">WAL!#REF!</definedName>
    <definedName name="walpooltriesscored">WAL!#REF!</definedName>
    <definedName name="walpoolwon">WAL!#REF!</definedName>
    <definedName name="walred">WAL!#REF!</definedName>
    <definedName name="walredcorr">WAL!#REF!</definedName>
    <definedName name="waltb">WAL!#REF!</definedName>
    <definedName name="waltbcon">WAL!#REF!</definedName>
    <definedName name="walyellow">WAL!#REF!</definedName>
    <definedName name="walyellowcorr">WAL!#REF!</definedName>
    <definedName name="waspsbonus">NZL!#REF!</definedName>
    <definedName name="waspsconceded">NZL!#REF!</definedName>
    <definedName name="waspsdrawn">NZL!#REF!</definedName>
    <definedName name="waspsdrawncorrect">NZL!#REF!</definedName>
    <definedName name="waspslosingbonus">NZL!#REF!</definedName>
    <definedName name="waspslosingbonusconceded">NZL!#REF!</definedName>
    <definedName name="waspslost">NZL!#REF!</definedName>
    <definedName name="waspsplayed">NZL!#REF!</definedName>
    <definedName name="waspspremred">[2]WAS!$O$40</definedName>
    <definedName name="Waspspremtotalsdgs">[1]WAS!$L$37</definedName>
    <definedName name="waspspremtotalsdrawn">[1]WAS!$AA$37</definedName>
    <definedName name="Waspspremtotalslost">[1]WAS!$AB$37</definedName>
    <definedName name="Waspspremtotalsplayed">[1]WAS!$Y$37</definedName>
    <definedName name="Waspspremtotalsptsagainst">[1]WAS!$G$37</definedName>
    <definedName name="Waspspremtotalsptsscored">[1]WAS!$F$37</definedName>
    <definedName name="Waspspremtotalsrc">[1]WAS!$O$37</definedName>
    <definedName name="Waspspremtotalstriesconceded">[1]WAS!$R$37</definedName>
    <definedName name="Waspspremtotalstriesscored">[1]WAS!$J$37</definedName>
    <definedName name="Waspspremtotalswon">[1]WAS!$Z$37</definedName>
    <definedName name="Waspspremtotalsyc">[1]WAS!$N$37</definedName>
    <definedName name="waspspremtrybonusconc">[1]WAS!$P$35</definedName>
    <definedName name="waspspremtrybonusscored">[1]WAS!$H$35</definedName>
    <definedName name="waspspremyellow">[2]WAS!$N$40</definedName>
    <definedName name="waspsred">NZL!#REF!</definedName>
    <definedName name="waspsscored">NZL!#REF!</definedName>
    <definedName name="waspstriesconceded">NZL!#REF!</definedName>
    <definedName name="waspstriesscored">NZL!#REF!</definedName>
    <definedName name="waspstrybonus">NZL!#REF!</definedName>
    <definedName name="waspstrybonusconceded">NZL!#REF!</definedName>
    <definedName name="waspswon">NZL!#REF!</definedName>
    <definedName name="waspsyellow">NZL!#REF!</definedName>
    <definedName name="welshlosingbonus">GEO!#REF!</definedName>
    <definedName name="welshtrybonus">GEO!#REF!</definedName>
    <definedName name="worbonus">GEO!#REF!</definedName>
    <definedName name="worcester201314triesagainst">GEO!#REF!</definedName>
    <definedName name="worcesterpremred">[2]WOR!$O$35</definedName>
    <definedName name="worcesterpremseasontotalsdgs">[1]WOR!$L$39</definedName>
    <definedName name="worcesterpremseasontotalsdrawn">[1]WOR!$AA$39</definedName>
    <definedName name="worcesterpremseasontotalslost">[1]WOR!$AB$39</definedName>
    <definedName name="worcesterpremseasontotalsplayed">[1]WOR!$Y$39</definedName>
    <definedName name="worcesterpremseasontotalsptsagainst">[1]WOR!$G$39</definedName>
    <definedName name="worcesterpremseasontotalsptsscored">[1]WOR!$F$39</definedName>
    <definedName name="worcesterpremseasontotalsRC">[1]WOR!$O$39</definedName>
    <definedName name="worcesterpremseasontotalstriesconceded">[1]WOR!$R$39</definedName>
    <definedName name="worcesterpremseasontotalstriesscoredcorrect">[1]WOR!$J$39</definedName>
    <definedName name="worcesterpremseasontotalswon">[1]WOR!$Z$39</definedName>
    <definedName name="worcesterpremseasontotalsYC">[1]WOR!$N$39</definedName>
    <definedName name="worcesterpremtrybonusconc">[1]WOR!$P$37</definedName>
    <definedName name="worcesterpremtrybonusscored">[1]WOR!$H$37</definedName>
    <definedName name="worcesterpremyellow">[2]WOR!$N$35</definedName>
    <definedName name="worcestertriesscored">GEO!#REF!</definedName>
    <definedName name="worconceded">GEO!#REF!</definedName>
    <definedName name="wordrawn">GEO!#REF!</definedName>
    <definedName name="worlosingbonus">GEO!#REF!</definedName>
    <definedName name="worlosingbonusconceded">GEO!#REF!</definedName>
    <definedName name="worlost">GEO!#REF!</definedName>
    <definedName name="worplayed">GEO!#REF!</definedName>
    <definedName name="worred">GEO!#REF!</definedName>
    <definedName name="worscored">GEO!#REF!</definedName>
    <definedName name="wortriesconceded">GEO!#REF!</definedName>
    <definedName name="wortriesscored">GEO!#REF!</definedName>
    <definedName name="wortrybonus">GEO!#REF!</definedName>
    <definedName name="wortrybonusconceded">GEO!#REF!</definedName>
    <definedName name="worwon">GEO!#REF!</definedName>
    <definedName name="woryellow">GEO!#REF!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25" l="1"/>
  <c r="P16" i="25"/>
  <c r="I16" i="25"/>
  <c r="H16" i="25"/>
  <c r="AN16" i="25"/>
  <c r="AM16" i="25"/>
  <c r="AL16" i="25"/>
  <c r="AK16" i="25"/>
  <c r="AJ16" i="25"/>
  <c r="AI16" i="25"/>
  <c r="AH16" i="25"/>
  <c r="AG16" i="25"/>
  <c r="AF16" i="25"/>
  <c r="AE16" i="25"/>
  <c r="AD16" i="25"/>
  <c r="AC16" i="25"/>
  <c r="AB16" i="25"/>
  <c r="AA16" i="25"/>
  <c r="Z16" i="25"/>
  <c r="Y16" i="25"/>
  <c r="R16" i="25"/>
  <c r="O16" i="25"/>
  <c r="N16" i="25"/>
  <c r="M16" i="25"/>
  <c r="L16" i="25"/>
  <c r="K16" i="25"/>
  <c r="J16" i="25"/>
  <c r="G16" i="25"/>
  <c r="F16" i="25"/>
  <c r="Z14" i="17"/>
  <c r="Y14" i="17"/>
  <c r="Q16" i="13"/>
  <c r="P16" i="13"/>
  <c r="I16" i="13"/>
  <c r="H16" i="13"/>
  <c r="D21" i="43"/>
  <c r="F22" i="43" s="1"/>
  <c r="F21" i="43"/>
  <c r="Q14" i="17"/>
  <c r="P14" i="17"/>
  <c r="I14" i="17"/>
  <c r="H14" i="17"/>
  <c r="AN14" i="17"/>
  <c r="AM14" i="17"/>
  <c r="AL14" i="17"/>
  <c r="AK14" i="17"/>
  <c r="AJ14" i="17"/>
  <c r="AI14" i="17"/>
  <c r="AH14" i="17"/>
  <c r="AG14" i="17"/>
  <c r="AF14" i="17"/>
  <c r="AE14" i="17"/>
  <c r="AD14" i="17"/>
  <c r="AC14" i="17"/>
  <c r="AB14" i="17"/>
  <c r="AA14" i="17"/>
  <c r="R14" i="17"/>
  <c r="O14" i="17"/>
  <c r="N14" i="17"/>
  <c r="M14" i="17"/>
  <c r="L14" i="17"/>
  <c r="K14" i="17"/>
  <c r="J14" i="17"/>
  <c r="G14" i="17"/>
  <c r="F14" i="17"/>
  <c r="R11" i="44"/>
  <c r="Q22" i="44"/>
  <c r="AN12" i="20"/>
  <c r="AM12" i="20"/>
  <c r="AL12" i="20"/>
  <c r="AK12" i="20"/>
  <c r="AJ12" i="20"/>
  <c r="AI12" i="20"/>
  <c r="AH12" i="20"/>
  <c r="AG12" i="20"/>
  <c r="AF12" i="20"/>
  <c r="AE12" i="20"/>
  <c r="AD12" i="20"/>
  <c r="AC12" i="20"/>
  <c r="AB12" i="20"/>
  <c r="AA12" i="20"/>
  <c r="Z12" i="20"/>
  <c r="Y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/>
  <c r="R20" i="44"/>
  <c r="Q20" i="44"/>
  <c r="B5" i="32"/>
  <c r="F5" i="32" s="1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B7" i="41" s="1"/>
  <c r="AQ3" i="12" s="1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AN12" i="16"/>
  <c r="AM12" i="16"/>
  <c r="AL12" i="16"/>
  <c r="AK12" i="16"/>
  <c r="AJ12" i="16"/>
  <c r="AI12" i="16"/>
  <c r="AH12" i="16"/>
  <c r="AG12" i="16"/>
  <c r="AF12" i="16"/>
  <c r="AE12" i="16"/>
  <c r="AD12" i="16"/>
  <c r="AC12" i="16"/>
  <c r="AB12" i="16"/>
  <c r="AA12" i="16"/>
  <c r="Z12" i="16"/>
  <c r="Y12" i="16"/>
  <c r="R12" i="16"/>
  <c r="Q12" i="16"/>
  <c r="P12" i="16"/>
  <c r="O12" i="16"/>
  <c r="N12" i="16"/>
  <c r="M12" i="16"/>
  <c r="L12" i="16"/>
  <c r="K12" i="16"/>
  <c r="J12" i="16"/>
  <c r="I12" i="16"/>
  <c r="H12" i="16"/>
  <c r="K4" i="31" s="1"/>
  <c r="G12" i="16"/>
  <c r="F12" i="16"/>
  <c r="AN12" i="17"/>
  <c r="AM12" i="17"/>
  <c r="AL12" i="17"/>
  <c r="AK12" i="17"/>
  <c r="AJ12" i="17"/>
  <c r="AI12" i="17"/>
  <c r="AH12" i="17"/>
  <c r="AG12" i="17"/>
  <c r="AF12" i="17"/>
  <c r="AE12" i="17"/>
  <c r="AD12" i="17"/>
  <c r="AC12" i="17"/>
  <c r="AB12" i="17"/>
  <c r="AA12" i="17"/>
  <c r="Z12" i="17"/>
  <c r="Y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AN12" i="11"/>
  <c r="AM12" i="11"/>
  <c r="AL12" i="11"/>
  <c r="AK12" i="11"/>
  <c r="AJ12" i="11"/>
  <c r="AI12" i="11"/>
  <c r="AH12" i="11"/>
  <c r="AG12" i="11"/>
  <c r="AF12" i="11"/>
  <c r="AE12" i="11"/>
  <c r="AD12" i="11"/>
  <c r="AC12" i="11"/>
  <c r="AB12" i="11"/>
  <c r="D68" i="41" s="1"/>
  <c r="AA12" i="11"/>
  <c r="Z12" i="11"/>
  <c r="Y12" i="11"/>
  <c r="R12" i="11"/>
  <c r="O2" i="31" s="1"/>
  <c r="Q12" i="11"/>
  <c r="P12" i="11"/>
  <c r="O12" i="11"/>
  <c r="N12" i="11"/>
  <c r="B7" i="32" s="1"/>
  <c r="F7" i="32" s="1"/>
  <c r="M12" i="11"/>
  <c r="L12" i="11"/>
  <c r="K12" i="11"/>
  <c r="J12" i="11"/>
  <c r="I12" i="11"/>
  <c r="H12" i="11"/>
  <c r="G12" i="11"/>
  <c r="F12" i="11"/>
  <c r="AN16" i="13"/>
  <c r="AM16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Y16" i="13"/>
  <c r="B8" i="41" s="1"/>
  <c r="R16" i="13"/>
  <c r="O16" i="13"/>
  <c r="N16" i="13"/>
  <c r="M16" i="13"/>
  <c r="L16" i="13"/>
  <c r="K16" i="13"/>
  <c r="J16" i="13"/>
  <c r="G16" i="13"/>
  <c r="H8" i="41" s="1"/>
  <c r="AQ8" i="13" s="1"/>
  <c r="F16" i="13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R13" i="13"/>
  <c r="Q13" i="13"/>
  <c r="P13" i="13"/>
  <c r="O13" i="13"/>
  <c r="N13" i="13"/>
  <c r="M13" i="13"/>
  <c r="L13" i="13"/>
  <c r="K13" i="13"/>
  <c r="J13" i="13"/>
  <c r="I13" i="13"/>
  <c r="H13" i="13"/>
  <c r="K3" i="31" s="1"/>
  <c r="G13" i="13"/>
  <c r="F13" i="13"/>
  <c r="AN13" i="25"/>
  <c r="AM13" i="25"/>
  <c r="AL13" i="25"/>
  <c r="AK13" i="25"/>
  <c r="AJ13" i="25"/>
  <c r="AI13" i="25"/>
  <c r="AH13" i="25"/>
  <c r="AG13" i="25"/>
  <c r="AF13" i="25"/>
  <c r="AE13" i="25"/>
  <c r="AD13" i="25"/>
  <c r="AC13" i="25"/>
  <c r="AB13" i="25"/>
  <c r="AA13" i="25"/>
  <c r="Z13" i="25"/>
  <c r="Y13" i="25"/>
  <c r="R13" i="25"/>
  <c r="Q13" i="25"/>
  <c r="P13" i="25"/>
  <c r="O13" i="25"/>
  <c r="N13" i="25"/>
  <c r="M13" i="25"/>
  <c r="L13" i="25"/>
  <c r="K13" i="25"/>
  <c r="J13" i="25"/>
  <c r="I13" i="25"/>
  <c r="L5" i="31" s="1"/>
  <c r="H13" i="25"/>
  <c r="G13" i="25"/>
  <c r="F13" i="25"/>
  <c r="O7" i="44"/>
  <c r="O6" i="44"/>
  <c r="O5" i="44"/>
  <c r="P21" i="44"/>
  <c r="P20" i="44"/>
  <c r="P19" i="44"/>
  <c r="O26" i="44"/>
  <c r="N26" i="44"/>
  <c r="M26" i="44"/>
  <c r="L26" i="44"/>
  <c r="K26" i="44"/>
  <c r="J26" i="44"/>
  <c r="P25" i="44"/>
  <c r="R25" i="44"/>
  <c r="P24" i="44"/>
  <c r="P23" i="44"/>
  <c r="P22" i="44"/>
  <c r="R22" i="44" s="1"/>
  <c r="P18" i="44"/>
  <c r="P12" i="44"/>
  <c r="N12" i="44"/>
  <c r="M12" i="44"/>
  <c r="L12" i="44"/>
  <c r="K12" i="44"/>
  <c r="J12" i="44"/>
  <c r="I12" i="44"/>
  <c r="O11" i="44"/>
  <c r="Q11" i="44" s="1"/>
  <c r="O10" i="44"/>
  <c r="Q10" i="44" s="1"/>
  <c r="O9" i="44"/>
  <c r="O8" i="44"/>
  <c r="O4" i="44"/>
  <c r="N17" i="42"/>
  <c r="M17" i="42"/>
  <c r="I17" i="42"/>
  <c r="H17" i="42"/>
  <c r="O14" i="42"/>
  <c r="J14" i="42"/>
  <c r="J15" i="42"/>
  <c r="J13" i="42"/>
  <c r="J16" i="42"/>
  <c r="O6" i="42"/>
  <c r="J6" i="42"/>
  <c r="J5" i="42"/>
  <c r="J7" i="42"/>
  <c r="AN15" i="30"/>
  <c r="AM15" i="30"/>
  <c r="AL15" i="30"/>
  <c r="AK15" i="30"/>
  <c r="AJ15" i="30"/>
  <c r="AI15" i="30"/>
  <c r="AH15" i="30"/>
  <c r="AG15" i="30"/>
  <c r="AF15" i="30"/>
  <c r="AE15" i="30"/>
  <c r="AD15" i="30"/>
  <c r="AC15" i="30"/>
  <c r="AB15" i="30"/>
  <c r="AA15" i="30"/>
  <c r="Z15" i="30"/>
  <c r="Y15" i="30"/>
  <c r="R15" i="30"/>
  <c r="Q15" i="30"/>
  <c r="P15" i="30"/>
  <c r="O15" i="30"/>
  <c r="N15" i="30"/>
  <c r="M15" i="30"/>
  <c r="L15" i="30"/>
  <c r="K15" i="30"/>
  <c r="J15" i="30"/>
  <c r="I15" i="30"/>
  <c r="H15" i="30"/>
  <c r="G15" i="30"/>
  <c r="F15" i="30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Y13" i="30"/>
  <c r="R13" i="30"/>
  <c r="Q13" i="30"/>
  <c r="P13" i="30"/>
  <c r="O13" i="30"/>
  <c r="D4" i="32" s="1"/>
  <c r="F4" i="32" s="1"/>
  <c r="N13" i="30"/>
  <c r="M13" i="30"/>
  <c r="L13" i="30"/>
  <c r="K13" i="30"/>
  <c r="J13" i="30"/>
  <c r="I13" i="30"/>
  <c r="H13" i="30"/>
  <c r="G13" i="30"/>
  <c r="F13" i="30"/>
  <c r="AN14" i="30"/>
  <c r="AM14" i="30"/>
  <c r="AL14" i="30"/>
  <c r="AK14" i="30"/>
  <c r="AJ14" i="30"/>
  <c r="AI14" i="30"/>
  <c r="AH14" i="30"/>
  <c r="AG14" i="30"/>
  <c r="AF14" i="30"/>
  <c r="AE14" i="30"/>
  <c r="AD14" i="30"/>
  <c r="AC14" i="30"/>
  <c r="AB14" i="30"/>
  <c r="AA14" i="30"/>
  <c r="Z14" i="30"/>
  <c r="Y14" i="30"/>
  <c r="R14" i="30"/>
  <c r="O14" i="30"/>
  <c r="N14" i="30"/>
  <c r="M14" i="30"/>
  <c r="L14" i="30"/>
  <c r="K14" i="30"/>
  <c r="J14" i="30"/>
  <c r="G14" i="30"/>
  <c r="F14" i="30"/>
  <c r="B11" i="44"/>
  <c r="D11" i="44"/>
  <c r="Q25" i="44"/>
  <c r="H8" i="42"/>
  <c r="H18" i="42"/>
  <c r="M8" i="42"/>
  <c r="M18" i="42" s="1"/>
  <c r="I8" i="42"/>
  <c r="I18" i="42"/>
  <c r="N8" i="42"/>
  <c r="N18" i="42" s="1"/>
  <c r="J4" i="42"/>
  <c r="AN15" i="25"/>
  <c r="AM15" i="25"/>
  <c r="AL15" i="25"/>
  <c r="AK15" i="25"/>
  <c r="AJ15" i="25"/>
  <c r="AI15" i="25"/>
  <c r="AH15" i="25"/>
  <c r="AG15" i="25"/>
  <c r="AF15" i="25"/>
  <c r="AE15" i="25"/>
  <c r="AD15" i="25"/>
  <c r="AC15" i="25"/>
  <c r="AB15" i="25"/>
  <c r="AA15" i="25"/>
  <c r="Z15" i="25"/>
  <c r="Y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AN14" i="25"/>
  <c r="AM14" i="25"/>
  <c r="AL14" i="25"/>
  <c r="AK14" i="25"/>
  <c r="AJ14" i="25"/>
  <c r="AI14" i="25"/>
  <c r="AH14" i="25"/>
  <c r="AG14" i="25"/>
  <c r="AF14" i="25"/>
  <c r="AE14" i="25"/>
  <c r="AD14" i="25"/>
  <c r="AC14" i="25"/>
  <c r="AB14" i="25"/>
  <c r="AA14" i="25"/>
  <c r="Z14" i="25"/>
  <c r="Y14" i="25"/>
  <c r="R14" i="25"/>
  <c r="O14" i="25"/>
  <c r="N14" i="25"/>
  <c r="M14" i="25"/>
  <c r="L14" i="25"/>
  <c r="K14" i="25"/>
  <c r="J14" i="25"/>
  <c r="G14" i="25"/>
  <c r="F14" i="25"/>
  <c r="AN13" i="17"/>
  <c r="AM13" i="17"/>
  <c r="AL13" i="17"/>
  <c r="AK13" i="17"/>
  <c r="AJ13" i="17"/>
  <c r="AI13" i="17"/>
  <c r="AH13" i="17"/>
  <c r="AG13" i="17"/>
  <c r="AE13" i="17"/>
  <c r="AD13" i="17"/>
  <c r="AA13" i="17"/>
  <c r="Z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AN13" i="16"/>
  <c r="AM13" i="16"/>
  <c r="AL13" i="16"/>
  <c r="AK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AN15" i="13"/>
  <c r="AM15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Y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AN14" i="13"/>
  <c r="AM14" i="13"/>
  <c r="AL14" i="13"/>
  <c r="AK14" i="13"/>
  <c r="AJ14" i="13"/>
  <c r="AI14" i="13"/>
  <c r="AH14" i="13"/>
  <c r="AG14" i="13"/>
  <c r="AF14" i="13"/>
  <c r="AE14" i="13"/>
  <c r="AD14" i="13"/>
  <c r="AC14" i="13"/>
  <c r="AB14" i="13"/>
  <c r="AA14" i="13"/>
  <c r="Z14" i="13"/>
  <c r="Y14" i="13"/>
  <c r="R14" i="13"/>
  <c r="O14" i="13"/>
  <c r="N14" i="13"/>
  <c r="M14" i="13"/>
  <c r="L14" i="13"/>
  <c r="K14" i="13"/>
  <c r="J14" i="13"/>
  <c r="G14" i="13"/>
  <c r="F14" i="13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Y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AN14" i="20"/>
  <c r="AM14" i="20"/>
  <c r="AL14" i="20"/>
  <c r="AK14" i="20"/>
  <c r="AJ14" i="20"/>
  <c r="AI14" i="20"/>
  <c r="AH14" i="20"/>
  <c r="AG14" i="20"/>
  <c r="AF14" i="20"/>
  <c r="AE14" i="20"/>
  <c r="AD14" i="20"/>
  <c r="AC14" i="20"/>
  <c r="AB14" i="20"/>
  <c r="AA14" i="20"/>
  <c r="Z14" i="20"/>
  <c r="Y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AN13" i="20"/>
  <c r="AM13" i="20"/>
  <c r="AL13" i="20"/>
  <c r="AK13" i="20"/>
  <c r="AJ13" i="20"/>
  <c r="AI13" i="20"/>
  <c r="AH13" i="20"/>
  <c r="AG13" i="20"/>
  <c r="AF13" i="20"/>
  <c r="AE13" i="20"/>
  <c r="AD13" i="20"/>
  <c r="AC13" i="20"/>
  <c r="AB13" i="20"/>
  <c r="AA13" i="20"/>
  <c r="Z13" i="20"/>
  <c r="Y13" i="20"/>
  <c r="R13" i="20"/>
  <c r="O13" i="20"/>
  <c r="N13" i="20"/>
  <c r="M13" i="20"/>
  <c r="L13" i="20"/>
  <c r="K13" i="20"/>
  <c r="J13" i="20"/>
  <c r="G13" i="20"/>
  <c r="F13" i="20"/>
  <c r="AN7" i="12"/>
  <c r="AM7" i="12"/>
  <c r="AL7" i="12"/>
  <c r="AK7" i="12"/>
  <c r="AJ7" i="12"/>
  <c r="AI7" i="12"/>
  <c r="AH7" i="12"/>
  <c r="AG7" i="12"/>
  <c r="AF7" i="12"/>
  <c r="AE7" i="12"/>
  <c r="AD7" i="12"/>
  <c r="AC7" i="12"/>
  <c r="AB7" i="12"/>
  <c r="AA7" i="12"/>
  <c r="Z7" i="12"/>
  <c r="Y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R7" i="9"/>
  <c r="Q7" i="9"/>
  <c r="P7" i="9"/>
  <c r="O7" i="9"/>
  <c r="N7" i="9"/>
  <c r="M7" i="9"/>
  <c r="L7" i="9"/>
  <c r="K7" i="9"/>
  <c r="J7" i="9"/>
  <c r="I7" i="9"/>
  <c r="H7" i="9"/>
  <c r="G7" i="9"/>
  <c r="F7" i="9"/>
  <c r="L15" i="42"/>
  <c r="O15" i="42" s="1"/>
  <c r="L5" i="42"/>
  <c r="O5" i="42"/>
  <c r="AT9" i="10"/>
  <c r="AQ9" i="10"/>
  <c r="AN11" i="15"/>
  <c r="AM11" i="15"/>
  <c r="AL11" i="15"/>
  <c r="AK11" i="15"/>
  <c r="AJ11" i="15"/>
  <c r="AI11" i="15"/>
  <c r="AH11" i="15"/>
  <c r="AG11" i="15"/>
  <c r="AF11" i="15"/>
  <c r="AE11" i="15"/>
  <c r="AD11" i="15"/>
  <c r="AC11" i="15"/>
  <c r="AB11" i="15"/>
  <c r="AA11" i="15"/>
  <c r="Z11" i="15"/>
  <c r="Y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AN10" i="15"/>
  <c r="AM10" i="15"/>
  <c r="AL10" i="15"/>
  <c r="AK10" i="15"/>
  <c r="AJ10" i="15"/>
  <c r="AI10" i="15"/>
  <c r="AH10" i="15"/>
  <c r="AG10" i="15"/>
  <c r="AF10" i="15"/>
  <c r="AE10" i="15"/>
  <c r="AD10" i="15"/>
  <c r="AC10" i="15"/>
  <c r="AB10" i="15"/>
  <c r="AA10" i="15"/>
  <c r="Z10" i="15"/>
  <c r="Y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AN9" i="15"/>
  <c r="AM9" i="15"/>
  <c r="AL9" i="15"/>
  <c r="AK9" i="15"/>
  <c r="AJ9" i="15"/>
  <c r="AI9" i="15"/>
  <c r="AH9" i="15"/>
  <c r="AG9" i="15"/>
  <c r="AF9" i="15"/>
  <c r="AE9" i="15"/>
  <c r="AD9" i="15"/>
  <c r="AC9" i="15"/>
  <c r="AB9" i="15"/>
  <c r="AA9" i="15"/>
  <c r="Z9" i="15"/>
  <c r="Y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O16" i="42"/>
  <c r="O4" i="42"/>
  <c r="H68" i="41"/>
  <c r="H58" i="41"/>
  <c r="D58" i="41"/>
  <c r="E68" i="41"/>
  <c r="E58" i="41"/>
  <c r="C68" i="41"/>
  <c r="C58" i="41"/>
  <c r="F58" i="41" s="1"/>
  <c r="B68" i="41"/>
  <c r="B58" i="41"/>
  <c r="AN9" i="35"/>
  <c r="AM9" i="35"/>
  <c r="AL9" i="35"/>
  <c r="AK9" i="35"/>
  <c r="AJ9" i="35"/>
  <c r="AI9" i="35"/>
  <c r="AH9" i="35"/>
  <c r="AG9" i="35"/>
  <c r="AF9" i="35"/>
  <c r="AE9" i="35"/>
  <c r="AD9" i="35"/>
  <c r="AC9" i="35"/>
  <c r="AB9" i="35"/>
  <c r="AA9" i="35"/>
  <c r="Z9" i="35"/>
  <c r="Y9" i="35"/>
  <c r="R9" i="35"/>
  <c r="Q9" i="35"/>
  <c r="P9" i="35"/>
  <c r="O9" i="35"/>
  <c r="N9" i="35"/>
  <c r="M9" i="35"/>
  <c r="L9" i="35"/>
  <c r="K9" i="35"/>
  <c r="J9" i="35"/>
  <c r="I9" i="35"/>
  <c r="H9" i="35"/>
  <c r="G9" i="35"/>
  <c r="F9" i="35"/>
  <c r="G2" i="31"/>
  <c r="E2" i="31"/>
  <c r="D2" i="31"/>
  <c r="N2" i="31"/>
  <c r="D6" i="32"/>
  <c r="B6" i="32"/>
  <c r="N4" i="31"/>
  <c r="O6" i="31"/>
  <c r="B4" i="32"/>
  <c r="L6" i="31"/>
  <c r="H6" i="31"/>
  <c r="D5" i="31"/>
  <c r="O5" i="31"/>
  <c r="D3" i="32"/>
  <c r="B3" i="32"/>
  <c r="F3" i="32" s="1"/>
  <c r="K5" i="31"/>
  <c r="O3" i="31"/>
  <c r="D8" i="32"/>
  <c r="F8" i="32" s="1"/>
  <c r="B8" i="32"/>
  <c r="AN6" i="27"/>
  <c r="AM6" i="27"/>
  <c r="AL6" i="27"/>
  <c r="AK6" i="27"/>
  <c r="AJ6" i="27"/>
  <c r="AI6" i="27"/>
  <c r="AH6" i="27"/>
  <c r="AG6" i="27"/>
  <c r="AF6" i="27"/>
  <c r="AE6" i="27"/>
  <c r="AD6" i="27"/>
  <c r="AC6" i="27"/>
  <c r="AB6" i="27"/>
  <c r="AA6" i="27"/>
  <c r="Z6" i="27"/>
  <c r="Y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AN15" i="14"/>
  <c r="AM15" i="14"/>
  <c r="AL15" i="14"/>
  <c r="AK15" i="14"/>
  <c r="AJ15" i="14"/>
  <c r="AI15" i="14"/>
  <c r="AH15" i="14"/>
  <c r="AG15" i="14"/>
  <c r="AF15" i="14"/>
  <c r="AE15" i="14"/>
  <c r="AD15" i="14"/>
  <c r="AC15" i="14"/>
  <c r="AB15" i="14"/>
  <c r="AA15" i="14"/>
  <c r="Z15" i="14"/>
  <c r="Y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AT5" i="30"/>
  <c r="AT6" i="30"/>
  <c r="AT7" i="30"/>
  <c r="AN6" i="29"/>
  <c r="AM6" i="29"/>
  <c r="AL6" i="29"/>
  <c r="AK6" i="29"/>
  <c r="AJ6" i="29"/>
  <c r="AI6" i="29"/>
  <c r="AH6" i="29"/>
  <c r="AG6" i="29"/>
  <c r="AF6" i="29"/>
  <c r="AE6" i="29"/>
  <c r="AD6" i="29"/>
  <c r="AC6" i="29"/>
  <c r="AB6" i="29"/>
  <c r="AA6" i="29"/>
  <c r="E22" i="41" s="1"/>
  <c r="AQ5" i="29" s="1"/>
  <c r="Z6" i="29"/>
  <c r="C22" i="41" s="1"/>
  <c r="Y6" i="29"/>
  <c r="B22" i="41" s="1"/>
  <c r="AQ3" i="29" s="1"/>
  <c r="R6" i="29"/>
  <c r="Q6" i="29"/>
  <c r="P6" i="29"/>
  <c r="O6" i="29"/>
  <c r="N6" i="29"/>
  <c r="M6" i="29"/>
  <c r="L6" i="29"/>
  <c r="K6" i="29"/>
  <c r="J6" i="29"/>
  <c r="I22" i="41" s="1"/>
  <c r="AQ9" i="29" s="1"/>
  <c r="I6" i="29"/>
  <c r="H6" i="29"/>
  <c r="G6" i="29"/>
  <c r="H22" i="41"/>
  <c r="AQ8" i="29" s="1"/>
  <c r="F6" i="29"/>
  <c r="AT3" i="29"/>
  <c r="AN5" i="28"/>
  <c r="AT7" i="28"/>
  <c r="AN7" i="27"/>
  <c r="AM7" i="27"/>
  <c r="AL7" i="27"/>
  <c r="AK7" i="27"/>
  <c r="AJ7" i="27"/>
  <c r="AI7" i="27"/>
  <c r="AH7" i="27"/>
  <c r="AG7" i="27"/>
  <c r="AF7" i="27"/>
  <c r="AE7" i="27"/>
  <c r="AD7" i="27"/>
  <c r="AC7" i="27"/>
  <c r="AB7" i="27"/>
  <c r="AA7" i="27"/>
  <c r="E20" i="41"/>
  <c r="AQ5" i="27" s="1"/>
  <c r="Z7" i="27"/>
  <c r="Y7" i="27"/>
  <c r="B20" i="41"/>
  <c r="AQ3" i="27" s="1"/>
  <c r="R7" i="27"/>
  <c r="Q7" i="27"/>
  <c r="P7" i="27"/>
  <c r="O7" i="27"/>
  <c r="N7" i="27"/>
  <c r="M7" i="27"/>
  <c r="L7" i="27"/>
  <c r="K7" i="27"/>
  <c r="J7" i="27"/>
  <c r="I7" i="27"/>
  <c r="H7" i="27"/>
  <c r="G7" i="27"/>
  <c r="H20" i="41" s="1"/>
  <c r="AQ8" i="27" s="1"/>
  <c r="F7" i="27"/>
  <c r="AT6" i="27"/>
  <c r="AT5" i="27"/>
  <c r="AT4" i="27"/>
  <c r="AT8" i="27"/>
  <c r="AT7" i="27"/>
  <c r="AT9" i="28"/>
  <c r="AT8" i="28"/>
  <c r="AT4" i="28"/>
  <c r="AT9" i="27"/>
  <c r="AT7" i="29"/>
  <c r="AT6" i="29"/>
  <c r="AT4" i="29"/>
  <c r="AT8" i="29"/>
  <c r="AN11" i="26"/>
  <c r="AM11" i="26"/>
  <c r="AL11" i="26"/>
  <c r="AK11" i="26"/>
  <c r="AJ11" i="26"/>
  <c r="AI11" i="26"/>
  <c r="AH11" i="26"/>
  <c r="AG11" i="26"/>
  <c r="AF11" i="26"/>
  <c r="AE11" i="26"/>
  <c r="AD11" i="26"/>
  <c r="AC11" i="26"/>
  <c r="AB11" i="26"/>
  <c r="AA11" i="26"/>
  <c r="E19" i="41"/>
  <c r="AQ5" i="26" s="1"/>
  <c r="Z11" i="26"/>
  <c r="Y11" i="26"/>
  <c r="R11" i="26"/>
  <c r="Q11" i="26"/>
  <c r="P11" i="26"/>
  <c r="O11" i="26"/>
  <c r="N11" i="26"/>
  <c r="M11" i="26"/>
  <c r="L11" i="26"/>
  <c r="K11" i="26"/>
  <c r="J11" i="26"/>
  <c r="I11" i="26"/>
  <c r="H11" i="26"/>
  <c r="G11" i="26"/>
  <c r="F11" i="26"/>
  <c r="AT6" i="26"/>
  <c r="AT4" i="26"/>
  <c r="AN10" i="26"/>
  <c r="AM10" i="26"/>
  <c r="AL10" i="26"/>
  <c r="AK10" i="26"/>
  <c r="AJ10" i="26"/>
  <c r="AI10" i="26"/>
  <c r="AH10" i="26"/>
  <c r="AG10" i="26"/>
  <c r="AF10" i="26"/>
  <c r="AE10" i="26"/>
  <c r="AD10" i="26"/>
  <c r="AC10" i="26"/>
  <c r="AB10" i="26"/>
  <c r="AA10" i="26"/>
  <c r="Z10" i="26"/>
  <c r="Y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AT9" i="29"/>
  <c r="AT7" i="25"/>
  <c r="AT6" i="25"/>
  <c r="AT3" i="25"/>
  <c r="AT9" i="25"/>
  <c r="AT4" i="25"/>
  <c r="F52" i="41"/>
  <c r="F47" i="41"/>
  <c r="F41" i="41"/>
  <c r="F37" i="41"/>
  <c r="AN12" i="24"/>
  <c r="AM12" i="24"/>
  <c r="AL12" i="24"/>
  <c r="AK12" i="24"/>
  <c r="AJ12" i="24"/>
  <c r="AI12" i="24"/>
  <c r="AH12" i="24"/>
  <c r="AG12" i="24"/>
  <c r="AF12" i="24"/>
  <c r="AE12" i="24"/>
  <c r="AD12" i="24"/>
  <c r="AC12" i="24"/>
  <c r="AB12" i="24"/>
  <c r="AA12" i="24"/>
  <c r="E17" i="41"/>
  <c r="AQ5" i="24"/>
  <c r="Z12" i="24"/>
  <c r="C17" i="41" s="1"/>
  <c r="Y12" i="24"/>
  <c r="B17" i="41" s="1"/>
  <c r="AQ3" i="24" s="1"/>
  <c r="R12" i="24"/>
  <c r="Q12" i="24"/>
  <c r="P12" i="24"/>
  <c r="O12" i="24"/>
  <c r="N12" i="24"/>
  <c r="M12" i="24"/>
  <c r="L12" i="24"/>
  <c r="K12" i="24"/>
  <c r="J12" i="24"/>
  <c r="I12" i="24"/>
  <c r="H12" i="24"/>
  <c r="G12" i="24"/>
  <c r="H17" i="41"/>
  <c r="AQ8" i="24"/>
  <c r="F12" i="24"/>
  <c r="I11" i="24"/>
  <c r="H11" i="24"/>
  <c r="Q11" i="24"/>
  <c r="P11" i="24"/>
  <c r="AN11" i="24"/>
  <c r="AM11" i="24"/>
  <c r="AL11" i="24"/>
  <c r="AK11" i="24"/>
  <c r="AJ11" i="24"/>
  <c r="AI11" i="24"/>
  <c r="AH11" i="24"/>
  <c r="AG11" i="24"/>
  <c r="AF11" i="24"/>
  <c r="AE11" i="24"/>
  <c r="AD11" i="24"/>
  <c r="AC11" i="24"/>
  <c r="AB11" i="24"/>
  <c r="AA11" i="24"/>
  <c r="Z11" i="24"/>
  <c r="Y11" i="24"/>
  <c r="R11" i="24"/>
  <c r="O11" i="24"/>
  <c r="N11" i="24"/>
  <c r="M11" i="24"/>
  <c r="L11" i="24"/>
  <c r="K11" i="24"/>
  <c r="J11" i="24"/>
  <c r="G11" i="24"/>
  <c r="F11" i="24"/>
  <c r="AT5" i="24"/>
  <c r="AT4" i="24"/>
  <c r="AT3" i="24"/>
  <c r="AT9" i="24"/>
  <c r="AT8" i="24"/>
  <c r="AN7" i="36"/>
  <c r="AM7" i="36"/>
  <c r="AL7" i="36"/>
  <c r="AK7" i="36"/>
  <c r="AJ7" i="36"/>
  <c r="AI7" i="36"/>
  <c r="AH7" i="36"/>
  <c r="AG7" i="36"/>
  <c r="AF7" i="36"/>
  <c r="AE7" i="36"/>
  <c r="AD7" i="36"/>
  <c r="AC7" i="36"/>
  <c r="AB7" i="36"/>
  <c r="AA7" i="36"/>
  <c r="Z7" i="36"/>
  <c r="Y7" i="36"/>
  <c r="R7" i="36"/>
  <c r="Q7" i="36"/>
  <c r="P7" i="36"/>
  <c r="O7" i="36"/>
  <c r="N7" i="36"/>
  <c r="M7" i="36"/>
  <c r="L7" i="36"/>
  <c r="K7" i="36"/>
  <c r="J7" i="36"/>
  <c r="I7" i="36"/>
  <c r="H7" i="36"/>
  <c r="AA8" i="36"/>
  <c r="E16" i="41"/>
  <c r="AQ5" i="36" s="1"/>
  <c r="AN8" i="36"/>
  <c r="AM8" i="36"/>
  <c r="AL8" i="36"/>
  <c r="AK8" i="36"/>
  <c r="AJ8" i="36"/>
  <c r="AI8" i="36"/>
  <c r="AH8" i="36"/>
  <c r="AG8" i="36"/>
  <c r="AF8" i="36"/>
  <c r="AE8" i="36"/>
  <c r="AD8" i="36"/>
  <c r="AC8" i="36"/>
  <c r="AB8" i="36"/>
  <c r="Z8" i="36"/>
  <c r="C16" i="41"/>
  <c r="Y8" i="36"/>
  <c r="R8" i="36"/>
  <c r="Q8" i="36"/>
  <c r="P8" i="36"/>
  <c r="O8" i="36"/>
  <c r="N8" i="36"/>
  <c r="M8" i="36"/>
  <c r="L8" i="36"/>
  <c r="K8" i="36"/>
  <c r="J8" i="36"/>
  <c r="I8" i="36"/>
  <c r="H8" i="36"/>
  <c r="G8" i="36"/>
  <c r="F8" i="36"/>
  <c r="AT4" i="36"/>
  <c r="F42" i="41"/>
  <c r="AN7" i="23"/>
  <c r="AM7" i="23"/>
  <c r="AL7" i="23"/>
  <c r="AK7" i="23"/>
  <c r="AJ7" i="23"/>
  <c r="AI7" i="23"/>
  <c r="AH7" i="23"/>
  <c r="AG7" i="23"/>
  <c r="AF7" i="23"/>
  <c r="AE7" i="23"/>
  <c r="AD7" i="23"/>
  <c r="AC7" i="23"/>
  <c r="AB7" i="23"/>
  <c r="AA7" i="23"/>
  <c r="Z7" i="23"/>
  <c r="Y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F8" i="23"/>
  <c r="G15" i="41"/>
  <c r="AN10" i="35"/>
  <c r="AM10" i="35"/>
  <c r="AL10" i="35"/>
  <c r="AK10" i="35"/>
  <c r="AJ10" i="35"/>
  <c r="AI10" i="35"/>
  <c r="AH10" i="35"/>
  <c r="AG10" i="35"/>
  <c r="AF10" i="35"/>
  <c r="AE10" i="35"/>
  <c r="AD10" i="35"/>
  <c r="AC10" i="35"/>
  <c r="AB10" i="35"/>
  <c r="AA10" i="35"/>
  <c r="E13" i="41" s="1"/>
  <c r="AQ5" i="35" s="1"/>
  <c r="Z10" i="35"/>
  <c r="C13" i="41" s="1"/>
  <c r="AQ4" i="35" s="1"/>
  <c r="Y10" i="35"/>
  <c r="B13" i="41"/>
  <c r="AQ3" i="35" s="1"/>
  <c r="R10" i="35"/>
  <c r="Q10" i="35"/>
  <c r="P10" i="35"/>
  <c r="O10" i="35"/>
  <c r="N10" i="35"/>
  <c r="M10" i="35"/>
  <c r="L10" i="35"/>
  <c r="K10" i="35"/>
  <c r="J10" i="35"/>
  <c r="I10" i="35"/>
  <c r="H10" i="35"/>
  <c r="G10" i="35"/>
  <c r="H13" i="41" s="1"/>
  <c r="AQ8" i="35" s="1"/>
  <c r="F10" i="35"/>
  <c r="G13" i="41" s="1"/>
  <c r="AQ7" i="35" s="1"/>
  <c r="AQ6" i="15"/>
  <c r="AQ5" i="15"/>
  <c r="AQ4" i="15"/>
  <c r="AQ3" i="15"/>
  <c r="AQ9" i="15"/>
  <c r="AQ8" i="15"/>
  <c r="AQ7" i="15"/>
  <c r="AT6" i="15"/>
  <c r="AT7" i="35"/>
  <c r="AT5" i="15"/>
  <c r="AT3" i="35"/>
  <c r="AT6" i="24"/>
  <c r="AT4" i="35"/>
  <c r="AT3" i="15"/>
  <c r="AT9" i="15"/>
  <c r="AT3" i="36"/>
  <c r="AT7" i="36"/>
  <c r="AT6" i="36"/>
  <c r="AT9" i="36"/>
  <c r="AT7" i="24"/>
  <c r="AT8" i="36"/>
  <c r="AT8" i="15"/>
  <c r="AT9" i="35"/>
  <c r="AT8" i="35"/>
  <c r="AN15" i="20"/>
  <c r="AM15" i="20"/>
  <c r="AL15" i="20"/>
  <c r="AK15" i="20"/>
  <c r="AJ15" i="20"/>
  <c r="AI15" i="20"/>
  <c r="AH15" i="20"/>
  <c r="AG15" i="20"/>
  <c r="AF15" i="20"/>
  <c r="AE15" i="20"/>
  <c r="AD15" i="20"/>
  <c r="AC15" i="20"/>
  <c r="AB15" i="20"/>
  <c r="D9" i="41" s="1"/>
  <c r="AQ6" i="20" s="1"/>
  <c r="AA15" i="20"/>
  <c r="E9" i="41" s="1"/>
  <c r="AQ5" i="20" s="1"/>
  <c r="Z15" i="20"/>
  <c r="Y15" i="20"/>
  <c r="B9" i="41" s="1"/>
  <c r="AQ3" i="20" s="1"/>
  <c r="R15" i="20"/>
  <c r="Q15" i="20"/>
  <c r="P15" i="20"/>
  <c r="O15" i="20"/>
  <c r="N15" i="20"/>
  <c r="M15" i="20"/>
  <c r="L15" i="20"/>
  <c r="K15" i="20"/>
  <c r="J15" i="20"/>
  <c r="I9" i="41"/>
  <c r="AQ9" i="20" s="1"/>
  <c r="I15" i="20"/>
  <c r="H15" i="20"/>
  <c r="G15" i="20"/>
  <c r="H9" i="41" s="1"/>
  <c r="AQ8" i="20" s="1"/>
  <c r="F15" i="20"/>
  <c r="D7" i="41"/>
  <c r="AQ6" i="12" s="1"/>
  <c r="E7" i="41"/>
  <c r="AQ5" i="12"/>
  <c r="C7" i="41"/>
  <c r="F7" i="41" s="1"/>
  <c r="I7" i="41"/>
  <c r="AQ9" i="12"/>
  <c r="G7" i="41"/>
  <c r="AQ7" i="12" s="1"/>
  <c r="AN13" i="18"/>
  <c r="AM13" i="18"/>
  <c r="AL13" i="18"/>
  <c r="AK13" i="18"/>
  <c r="AJ13" i="18"/>
  <c r="AI13" i="18"/>
  <c r="AH13" i="18"/>
  <c r="AG13" i="18"/>
  <c r="AF13" i="18"/>
  <c r="AE13" i="18"/>
  <c r="AD13" i="18"/>
  <c r="AC13" i="18"/>
  <c r="AB13" i="18"/>
  <c r="D12" i="41"/>
  <c r="AQ6" i="18"/>
  <c r="AA13" i="18"/>
  <c r="E12" i="41"/>
  <c r="AQ5" i="18"/>
  <c r="Z13" i="18"/>
  <c r="C12" i="41" s="1"/>
  <c r="F12" i="41" s="1"/>
  <c r="Y13" i="18"/>
  <c r="B12" i="41"/>
  <c r="AQ3" i="18"/>
  <c r="R13" i="18"/>
  <c r="Q13" i="18"/>
  <c r="P13" i="18"/>
  <c r="O13" i="18"/>
  <c r="N13" i="18"/>
  <c r="M13" i="18"/>
  <c r="L13" i="18"/>
  <c r="K13" i="18"/>
  <c r="J13" i="18"/>
  <c r="I12" i="41"/>
  <c r="AQ9" i="18"/>
  <c r="I13" i="18"/>
  <c r="H13" i="18"/>
  <c r="G13" i="18"/>
  <c r="H12" i="41"/>
  <c r="AQ8" i="18"/>
  <c r="F13" i="18"/>
  <c r="G12" i="41"/>
  <c r="AQ7" i="18"/>
  <c r="AT6" i="18"/>
  <c r="AT7" i="18"/>
  <c r="AT6" i="17"/>
  <c r="AT5" i="17"/>
  <c r="AT3" i="17"/>
  <c r="AT9" i="17"/>
  <c r="AT8" i="17"/>
  <c r="AT7" i="17"/>
  <c r="AT5" i="16"/>
  <c r="AT9" i="16"/>
  <c r="F14" i="16"/>
  <c r="G10" i="41"/>
  <c r="AQ7" i="16"/>
  <c r="G14" i="16"/>
  <c r="H14" i="16"/>
  <c r="I14" i="16"/>
  <c r="J14" i="16"/>
  <c r="I10" i="41" s="1"/>
  <c r="K14" i="16"/>
  <c r="L14" i="16"/>
  <c r="M14" i="16"/>
  <c r="N14" i="16"/>
  <c r="O14" i="16"/>
  <c r="P14" i="16"/>
  <c r="Q14" i="16"/>
  <c r="R14" i="16"/>
  <c r="Y14" i="16"/>
  <c r="Z14" i="16"/>
  <c r="C10" i="41"/>
  <c r="AA14" i="16"/>
  <c r="E10" i="41" s="1"/>
  <c r="AQ5" i="16" s="1"/>
  <c r="AB14" i="16"/>
  <c r="AC14" i="16"/>
  <c r="AD14" i="16"/>
  <c r="AE14" i="16"/>
  <c r="AF14" i="16"/>
  <c r="AG14" i="16"/>
  <c r="AH14" i="16"/>
  <c r="AI14" i="16"/>
  <c r="AJ14" i="16"/>
  <c r="AK14" i="16"/>
  <c r="AL14" i="16"/>
  <c r="AM14" i="16"/>
  <c r="AN14" i="16"/>
  <c r="AT9" i="18"/>
  <c r="AT6" i="16"/>
  <c r="AT4" i="18"/>
  <c r="AT5" i="20"/>
  <c r="AT3" i="20"/>
  <c r="AT6" i="20"/>
  <c r="AT9" i="20"/>
  <c r="AT4" i="20"/>
  <c r="AT8" i="20"/>
  <c r="AT5" i="13"/>
  <c r="AT7" i="13"/>
  <c r="AT3" i="13"/>
  <c r="AT6" i="12"/>
  <c r="AT5" i="12"/>
  <c r="AT8" i="12"/>
  <c r="AT7" i="12"/>
  <c r="AT3" i="12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Y14" i="11"/>
  <c r="B6" i="41"/>
  <c r="AQ3" i="11" s="1"/>
  <c r="Z14" i="11"/>
  <c r="C6" i="41"/>
  <c r="AQ4" i="11"/>
  <c r="AA14" i="11"/>
  <c r="AB14" i="11"/>
  <c r="AC14" i="11"/>
  <c r="AD14" i="11"/>
  <c r="AE14" i="11"/>
  <c r="AF14" i="11"/>
  <c r="AG14" i="11"/>
  <c r="AH14" i="11"/>
  <c r="AI14" i="11"/>
  <c r="AJ14" i="11"/>
  <c r="AK14" i="11"/>
  <c r="AL14" i="11"/>
  <c r="AM14" i="11"/>
  <c r="AN14" i="11"/>
  <c r="AN17" i="14"/>
  <c r="AM17" i="14"/>
  <c r="AL17" i="14"/>
  <c r="AK17" i="14"/>
  <c r="AJ17" i="14"/>
  <c r="AI17" i="14"/>
  <c r="AH17" i="14"/>
  <c r="AG17" i="14"/>
  <c r="AF17" i="14"/>
  <c r="AE17" i="14"/>
  <c r="AD17" i="14"/>
  <c r="AC17" i="14"/>
  <c r="AB17" i="14"/>
  <c r="D5" i="41"/>
  <c r="AQ6" i="14"/>
  <c r="AA17" i="14"/>
  <c r="E5" i="41"/>
  <c r="AQ5" i="14"/>
  <c r="Z17" i="14"/>
  <c r="C5" i="41" s="1"/>
  <c r="Y17" i="14"/>
  <c r="B5" i="41"/>
  <c r="AQ3" i="14" s="1"/>
  <c r="R17" i="14"/>
  <c r="Q17" i="14"/>
  <c r="P17" i="14"/>
  <c r="O17" i="14"/>
  <c r="N17" i="14"/>
  <c r="M17" i="14"/>
  <c r="L17" i="14"/>
  <c r="K17" i="14"/>
  <c r="J17" i="14"/>
  <c r="I17" i="14"/>
  <c r="H17" i="14"/>
  <c r="G17" i="14"/>
  <c r="H5" i="41"/>
  <c r="AQ8" i="14"/>
  <c r="F17" i="14"/>
  <c r="AT9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Y16" i="14"/>
  <c r="R16" i="14"/>
  <c r="O16" i="14"/>
  <c r="N16" i="14"/>
  <c r="M16" i="14"/>
  <c r="L16" i="14"/>
  <c r="K16" i="14"/>
  <c r="J16" i="14"/>
  <c r="G16" i="14"/>
  <c r="F16" i="14"/>
  <c r="AN11" i="10"/>
  <c r="AM11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AQ5" i="10"/>
  <c r="Z11" i="10"/>
  <c r="Y11" i="10"/>
  <c r="B4" i="41"/>
  <c r="R11" i="10"/>
  <c r="Q11" i="10"/>
  <c r="P11" i="10"/>
  <c r="O11" i="10"/>
  <c r="N11" i="10"/>
  <c r="M11" i="10"/>
  <c r="L11" i="10"/>
  <c r="K11" i="10"/>
  <c r="J11" i="10"/>
  <c r="I11" i="10"/>
  <c r="H11" i="10"/>
  <c r="G11" i="10"/>
  <c r="AQ8" i="10"/>
  <c r="F11" i="10"/>
  <c r="AQ7" i="10"/>
  <c r="AT7" i="10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E3" i="41"/>
  <c r="Z8" i="9"/>
  <c r="C3" i="41"/>
  <c r="Y8" i="9"/>
  <c r="B3" i="41" s="1"/>
  <c r="AQ3" i="9" s="1"/>
  <c r="R8" i="9"/>
  <c r="Q8" i="9"/>
  <c r="P8" i="9"/>
  <c r="O8" i="9"/>
  <c r="N8" i="9"/>
  <c r="M8" i="9"/>
  <c r="L8" i="9"/>
  <c r="K8" i="9"/>
  <c r="J8" i="9"/>
  <c r="I8" i="9"/>
  <c r="H8" i="9"/>
  <c r="G8" i="9"/>
  <c r="F8" i="9"/>
  <c r="G3" i="41" s="1"/>
  <c r="AQ7" i="9" s="1"/>
  <c r="AT6" i="14"/>
  <c r="AT5" i="14"/>
  <c r="AT4" i="14"/>
  <c r="AT6" i="9"/>
  <c r="AT6" i="10"/>
  <c r="AT4" i="10"/>
  <c r="AT8" i="14"/>
  <c r="AT3" i="14"/>
  <c r="AT4" i="9"/>
  <c r="AN5" i="29"/>
  <c r="AM5" i="29"/>
  <c r="AL5" i="29"/>
  <c r="AK5" i="29"/>
  <c r="AJ5" i="29"/>
  <c r="AI5" i="29"/>
  <c r="AH5" i="29"/>
  <c r="AG5" i="29"/>
  <c r="AF5" i="29"/>
  <c r="AE5" i="29"/>
  <c r="AD5" i="29"/>
  <c r="AC5" i="29"/>
  <c r="AB5" i="29"/>
  <c r="AA5" i="29"/>
  <c r="Z5" i="29"/>
  <c r="Y5" i="29"/>
  <c r="R5" i="29"/>
  <c r="Q5" i="29"/>
  <c r="P5" i="29"/>
  <c r="O5" i="29"/>
  <c r="N5" i="29"/>
  <c r="M5" i="29"/>
  <c r="L5" i="29"/>
  <c r="K5" i="29"/>
  <c r="J5" i="29"/>
  <c r="I5" i="29"/>
  <c r="H5" i="29"/>
  <c r="G5" i="29"/>
  <c r="F5" i="29"/>
  <c r="G7" i="36"/>
  <c r="F7" i="36"/>
  <c r="E11" i="41"/>
  <c r="AQ5" i="17" s="1"/>
  <c r="C11" i="41"/>
  <c r="B11" i="41"/>
  <c r="AQ3" i="17"/>
  <c r="E7" i="31"/>
  <c r="O7" i="31"/>
  <c r="D5" i="32"/>
  <c r="L7" i="31"/>
  <c r="K7" i="31"/>
  <c r="C18" i="41"/>
  <c r="AQ4" i="25" s="1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E23" i="41"/>
  <c r="AQ5" i="30" s="1"/>
  <c r="Z16" i="30"/>
  <c r="C23" i="41" s="1"/>
  <c r="F23" i="41" s="1"/>
  <c r="Y16" i="30"/>
  <c r="R16" i="30"/>
  <c r="Q16" i="30"/>
  <c r="P16" i="30"/>
  <c r="O16" i="30"/>
  <c r="N16" i="30"/>
  <c r="M16" i="30"/>
  <c r="L16" i="30"/>
  <c r="K16" i="30"/>
  <c r="J16" i="30"/>
  <c r="I16" i="30"/>
  <c r="H16" i="30"/>
  <c r="G16" i="30"/>
  <c r="F16" i="30"/>
  <c r="AN12" i="18"/>
  <c r="AM12" i="18"/>
  <c r="AL12" i="18"/>
  <c r="AK12" i="18"/>
  <c r="AJ12" i="18"/>
  <c r="AI12" i="18"/>
  <c r="AH12" i="18"/>
  <c r="AG12" i="18"/>
  <c r="AF12" i="18"/>
  <c r="AE12" i="18"/>
  <c r="AD12" i="18"/>
  <c r="AC12" i="18"/>
  <c r="AB12" i="18"/>
  <c r="AA12" i="18"/>
  <c r="Z12" i="18"/>
  <c r="Y12" i="18"/>
  <c r="R12" i="18"/>
  <c r="O12" i="18"/>
  <c r="N12" i="18"/>
  <c r="M12" i="18"/>
  <c r="L12" i="18"/>
  <c r="K12" i="18"/>
  <c r="J12" i="18"/>
  <c r="G12" i="18"/>
  <c r="F12" i="18"/>
  <c r="E6" i="31"/>
  <c r="K6" i="31"/>
  <c r="G3" i="31"/>
  <c r="F2" i="31"/>
  <c r="D7" i="32"/>
  <c r="L2" i="31"/>
  <c r="K2" i="31"/>
  <c r="I2" i="31"/>
  <c r="O4" i="31"/>
  <c r="L4" i="31"/>
  <c r="AN8" i="23"/>
  <c r="AM8" i="23"/>
  <c r="AL8" i="23"/>
  <c r="AK8" i="23"/>
  <c r="AJ8" i="23"/>
  <c r="AI8" i="23"/>
  <c r="AH8" i="23"/>
  <c r="AG8" i="23"/>
  <c r="AF8" i="23"/>
  <c r="AE8" i="23"/>
  <c r="AD8" i="23"/>
  <c r="AC8" i="23"/>
  <c r="AB8" i="23"/>
  <c r="D15" i="41"/>
  <c r="AA8" i="23"/>
  <c r="E15" i="41"/>
  <c r="Z8" i="23"/>
  <c r="C15" i="41"/>
  <c r="Y8" i="23"/>
  <c r="B15" i="41"/>
  <c r="R8" i="23"/>
  <c r="Q8" i="23"/>
  <c r="P8" i="23"/>
  <c r="O8" i="23"/>
  <c r="N8" i="23"/>
  <c r="M8" i="23"/>
  <c r="L8" i="23"/>
  <c r="K8" i="23"/>
  <c r="J8" i="23"/>
  <c r="I15" i="41"/>
  <c r="I8" i="23"/>
  <c r="H8" i="23"/>
  <c r="G8" i="23"/>
  <c r="H15" i="41"/>
  <c r="AM5" i="28"/>
  <c r="AL5" i="28"/>
  <c r="AK5" i="28"/>
  <c r="AJ5" i="28"/>
  <c r="AI5" i="28"/>
  <c r="AH5" i="28"/>
  <c r="AG5" i="28"/>
  <c r="AF5" i="28"/>
  <c r="AE5" i="28"/>
  <c r="AD5" i="28"/>
  <c r="AC5" i="28"/>
  <c r="AB5" i="28"/>
  <c r="D21" i="41" s="1"/>
  <c r="AQ6" i="28" s="1"/>
  <c r="AA5" i="28"/>
  <c r="E21" i="41"/>
  <c r="Z5" i="28"/>
  <c r="C21" i="41"/>
  <c r="AQ4" i="28" s="1"/>
  <c r="Y5" i="28"/>
  <c r="B21" i="41" s="1"/>
  <c r="AQ3" i="28" s="1"/>
  <c r="R5" i="28"/>
  <c r="Q5" i="28"/>
  <c r="P5" i="28"/>
  <c r="O5" i="28"/>
  <c r="N5" i="28"/>
  <c r="M5" i="28"/>
  <c r="L5" i="28"/>
  <c r="K5" i="28"/>
  <c r="J5" i="28"/>
  <c r="I5" i="28"/>
  <c r="H5" i="28"/>
  <c r="G5" i="28"/>
  <c r="H21" i="41" s="1"/>
  <c r="AQ8" i="28" s="1"/>
  <c r="F5" i="28"/>
  <c r="D8" i="41"/>
  <c r="AQ6" i="13" s="1"/>
  <c r="E8" i="41"/>
  <c r="C8" i="41"/>
  <c r="AQ4" i="13"/>
  <c r="O8" i="32"/>
  <c r="P19" i="32"/>
  <c r="Q19" i="32" s="1"/>
  <c r="O6" i="32"/>
  <c r="P21" i="32"/>
  <c r="P17" i="32"/>
  <c r="P10" i="32"/>
  <c r="O7" i="32"/>
  <c r="O5" i="32"/>
  <c r="O9" i="32"/>
  <c r="N10" i="32"/>
  <c r="M10" i="32"/>
  <c r="L10" i="32"/>
  <c r="K10" i="32"/>
  <c r="J10" i="32"/>
  <c r="I10" i="32"/>
  <c r="O4" i="32"/>
  <c r="K22" i="32"/>
  <c r="P16" i="32"/>
  <c r="P18" i="32"/>
  <c r="P20" i="32"/>
  <c r="J22" i="32"/>
  <c r="O22" i="32"/>
  <c r="N22" i="32"/>
  <c r="M22" i="32"/>
  <c r="L22" i="32"/>
  <c r="G16" i="41"/>
  <c r="AQ7" i="36" s="1"/>
  <c r="I16" i="41"/>
  <c r="AQ9" i="36" s="1"/>
  <c r="H16" i="41"/>
  <c r="AQ8" i="36" s="1"/>
  <c r="B16" i="41"/>
  <c r="AQ3" i="36" s="1"/>
  <c r="F15" i="41"/>
  <c r="R4" i="32"/>
  <c r="Q4" i="32"/>
  <c r="Q18" i="32"/>
  <c r="R18" i="32"/>
  <c r="R17" i="32"/>
  <c r="Q17" i="32"/>
  <c r="R7" i="32"/>
  <c r="Q7" i="32"/>
  <c r="L3" i="31"/>
  <c r="L7" i="42"/>
  <c r="O7" i="42" s="1"/>
  <c r="L13" i="42"/>
  <c r="O13" i="42" s="1"/>
  <c r="D20" i="41"/>
  <c r="AQ6" i="27" s="1"/>
  <c r="G20" i="41"/>
  <c r="AQ7" i="27" s="1"/>
  <c r="C20" i="41"/>
  <c r="AQ4" i="27" s="1"/>
  <c r="I20" i="41"/>
  <c r="AQ9" i="27" s="1"/>
  <c r="G22" i="41"/>
  <c r="AQ7" i="29" s="1"/>
  <c r="D22" i="41"/>
  <c r="AQ6" i="29" s="1"/>
  <c r="I21" i="41"/>
  <c r="AQ9" i="28" s="1"/>
  <c r="G21" i="41"/>
  <c r="AQ7" i="28" s="1"/>
  <c r="AT7" i="26"/>
  <c r="AT8" i="26"/>
  <c r="AT3" i="26"/>
  <c r="G19" i="41"/>
  <c r="AQ7" i="26"/>
  <c r="I19" i="41"/>
  <c r="AQ9" i="26" s="1"/>
  <c r="D19" i="41"/>
  <c r="AQ6" i="26"/>
  <c r="H19" i="41"/>
  <c r="AQ8" i="26" s="1"/>
  <c r="B19" i="41"/>
  <c r="C19" i="41"/>
  <c r="G17" i="41"/>
  <c r="AQ7" i="24" s="1"/>
  <c r="I17" i="41"/>
  <c r="AQ9" i="24" s="1"/>
  <c r="D17" i="41"/>
  <c r="AQ6" i="24" s="1"/>
  <c r="D13" i="41"/>
  <c r="AQ6" i="35" s="1"/>
  <c r="AQ9" i="35"/>
  <c r="I13" i="41"/>
  <c r="AT8" i="18"/>
  <c r="AT3" i="18"/>
  <c r="G5" i="41"/>
  <c r="AQ7" i="14" s="1"/>
  <c r="I5" i="41"/>
  <c r="AQ9" i="14" s="1"/>
  <c r="H7" i="41"/>
  <c r="AQ8" i="12" s="1"/>
  <c r="I3" i="41"/>
  <c r="AQ9" i="9" s="1"/>
  <c r="H3" i="41"/>
  <c r="AQ8" i="9" s="1"/>
  <c r="D3" i="41"/>
  <c r="AQ6" i="9" s="1"/>
  <c r="D4" i="41"/>
  <c r="AQ6" i="10" s="1"/>
  <c r="AT3" i="10"/>
  <c r="AT8" i="10"/>
  <c r="R20" i="32"/>
  <c r="Q20" i="32"/>
  <c r="R5" i="32"/>
  <c r="Q5" i="32"/>
  <c r="F68" i="41"/>
  <c r="Q21" i="32"/>
  <c r="R21" i="32"/>
  <c r="Q6" i="32"/>
  <c r="R6" i="32"/>
  <c r="N6" i="31"/>
  <c r="I73" i="41"/>
  <c r="I63" i="41"/>
  <c r="I6" i="31"/>
  <c r="I8" i="31" s="1"/>
  <c r="G73" i="41"/>
  <c r="G63" i="41"/>
  <c r="G6" i="31"/>
  <c r="D73" i="41"/>
  <c r="D63" i="41"/>
  <c r="F6" i="31"/>
  <c r="P6" i="31" s="1"/>
  <c r="E73" i="41"/>
  <c r="E63" i="41"/>
  <c r="C73" i="41"/>
  <c r="C63" i="41"/>
  <c r="B73" i="41"/>
  <c r="F73" i="41" s="1"/>
  <c r="C9" i="41"/>
  <c r="AQ4" i="20" s="1"/>
  <c r="G9" i="41"/>
  <c r="AQ7" i="20"/>
  <c r="D16" i="41"/>
  <c r="AQ6" i="36" s="1"/>
  <c r="D69" i="41"/>
  <c r="D59" i="41"/>
  <c r="F3" i="31"/>
  <c r="E69" i="41"/>
  <c r="E59" i="41"/>
  <c r="D3" i="31"/>
  <c r="B69" i="41"/>
  <c r="B59" i="41"/>
  <c r="I69" i="41"/>
  <c r="I59" i="41"/>
  <c r="N3" i="31"/>
  <c r="I3" i="31"/>
  <c r="H69" i="41"/>
  <c r="H59" i="41"/>
  <c r="H3" i="31"/>
  <c r="G69" i="41"/>
  <c r="G59" i="41"/>
  <c r="N5" i="31"/>
  <c r="I72" i="41"/>
  <c r="I62" i="41"/>
  <c r="I5" i="31"/>
  <c r="H72" i="41"/>
  <c r="H62" i="41"/>
  <c r="H5" i="31"/>
  <c r="G72" i="41"/>
  <c r="G62" i="41"/>
  <c r="G5" i="31"/>
  <c r="D72" i="41"/>
  <c r="D62" i="41"/>
  <c r="E72" i="41"/>
  <c r="E5" i="31"/>
  <c r="C72" i="41"/>
  <c r="F72" i="41" s="1"/>
  <c r="C62" i="41"/>
  <c r="B72" i="41"/>
  <c r="B62" i="41"/>
  <c r="G4" i="31"/>
  <c r="D70" i="41"/>
  <c r="D60" i="41"/>
  <c r="F4" i="31"/>
  <c r="E70" i="41"/>
  <c r="E60" i="41"/>
  <c r="C60" i="41"/>
  <c r="F60" i="41" s="1"/>
  <c r="D4" i="31"/>
  <c r="B70" i="41"/>
  <c r="B60" i="41"/>
  <c r="I70" i="41"/>
  <c r="I60" i="41"/>
  <c r="I4" i="31"/>
  <c r="H70" i="41"/>
  <c r="H60" i="41"/>
  <c r="G70" i="41"/>
  <c r="G60" i="41"/>
  <c r="H4" i="31"/>
  <c r="N7" i="31"/>
  <c r="I61" i="41"/>
  <c r="I71" i="41"/>
  <c r="I7" i="31"/>
  <c r="H71" i="41"/>
  <c r="H61" i="41"/>
  <c r="H7" i="31"/>
  <c r="G71" i="41"/>
  <c r="G61" i="41"/>
  <c r="G7" i="31"/>
  <c r="D71" i="41"/>
  <c r="D61" i="41"/>
  <c r="F7" i="31"/>
  <c r="P7" i="31" s="1"/>
  <c r="C71" i="41"/>
  <c r="C61" i="41"/>
  <c r="D7" i="31"/>
  <c r="B71" i="41"/>
  <c r="B61" i="41"/>
  <c r="F44" i="41"/>
  <c r="F13" i="41"/>
  <c r="AT3" i="30"/>
  <c r="G23" i="41"/>
  <c r="AQ7" i="30" s="1"/>
  <c r="I23" i="41"/>
  <c r="AQ9" i="30" s="1"/>
  <c r="H23" i="41"/>
  <c r="AQ8" i="30" s="1"/>
  <c r="B23" i="41"/>
  <c r="D23" i="41"/>
  <c r="AQ6" i="30" s="1"/>
  <c r="AT8" i="30"/>
  <c r="I18" i="41"/>
  <c r="AQ9" i="25" s="1"/>
  <c r="E18" i="41"/>
  <c r="AQ5" i="25" s="1"/>
  <c r="G18" i="41"/>
  <c r="AQ7" i="25" s="1"/>
  <c r="H18" i="41"/>
  <c r="AQ8" i="25" s="1"/>
  <c r="B18" i="41"/>
  <c r="AQ3" i="25" s="1"/>
  <c r="D18" i="41"/>
  <c r="AQ6" i="25" s="1"/>
  <c r="AT4" i="16"/>
  <c r="H10" i="41"/>
  <c r="AQ8" i="16"/>
  <c r="B10" i="41"/>
  <c r="AQ3" i="16"/>
  <c r="D10" i="41"/>
  <c r="AQ6" i="16"/>
  <c r="AQ9" i="16"/>
  <c r="AT4" i="30"/>
  <c r="AT5" i="25"/>
  <c r="D11" i="41"/>
  <c r="AQ6" i="17" s="1"/>
  <c r="G11" i="41"/>
  <c r="AQ7" i="17" s="1"/>
  <c r="I11" i="41"/>
  <c r="AQ9" i="17" s="1"/>
  <c r="H11" i="41"/>
  <c r="AQ8" i="17" s="1"/>
  <c r="F11" i="41"/>
  <c r="J53" i="41"/>
  <c r="AQ4" i="17"/>
  <c r="AT6" i="13"/>
  <c r="D9" i="32"/>
  <c r="AT8" i="11"/>
  <c r="AT3" i="16"/>
  <c r="F6" i="32"/>
  <c r="AT8" i="16"/>
  <c r="I8" i="41"/>
  <c r="AQ9" i="13"/>
  <c r="G8" i="41"/>
  <c r="AQ7" i="13"/>
  <c r="AT8" i="13"/>
  <c r="D6" i="41"/>
  <c r="AQ6" i="11"/>
  <c r="H6" i="41"/>
  <c r="AQ8" i="11"/>
  <c r="AT6" i="11"/>
  <c r="E6" i="41"/>
  <c r="AQ5" i="11" s="1"/>
  <c r="I6" i="41"/>
  <c r="AQ9" i="11" s="1"/>
  <c r="G6" i="41"/>
  <c r="AQ7" i="11" s="1"/>
  <c r="AT7" i="11"/>
  <c r="AT4" i="11"/>
  <c r="P2" i="31"/>
  <c r="AT5" i="11"/>
  <c r="AT3" i="11"/>
  <c r="AT9" i="26"/>
  <c r="AQ5" i="13"/>
  <c r="AT3" i="9"/>
  <c r="F28" i="41"/>
  <c r="AT5" i="9"/>
  <c r="AQ4" i="10"/>
  <c r="B9" i="32"/>
  <c r="AT8" i="9"/>
  <c r="AQ4" i="9"/>
  <c r="AQ4" i="30"/>
  <c r="AT4" i="17"/>
  <c r="F36" i="41"/>
  <c r="AT7" i="16"/>
  <c r="AQ4" i="18"/>
  <c r="AT7" i="15"/>
  <c r="F14" i="41"/>
  <c r="O10" i="32"/>
  <c r="Q10" i="32" s="1"/>
  <c r="AT5" i="10"/>
  <c r="AQ4" i="16"/>
  <c r="AT7" i="14"/>
  <c r="AT9" i="12"/>
  <c r="AT9" i="13"/>
  <c r="F30" i="41"/>
  <c r="F34" i="41"/>
  <c r="AT7" i="20"/>
  <c r="AT5" i="18"/>
  <c r="F38" i="41"/>
  <c r="AT5" i="36"/>
  <c r="F43" i="41"/>
  <c r="AT6" i="35"/>
  <c r="AT3" i="27"/>
  <c r="F48" i="41"/>
  <c r="AT3" i="28"/>
  <c r="AT6" i="28"/>
  <c r="AT8" i="25"/>
  <c r="AT9" i="30"/>
  <c r="AQ3" i="26"/>
  <c r="F9" i="41"/>
  <c r="N8" i="31"/>
  <c r="J4" i="31"/>
  <c r="J7" i="31"/>
  <c r="J3" i="31"/>
  <c r="J5" i="31"/>
  <c r="AQ3" i="30"/>
  <c r="F51" i="41"/>
  <c r="F18" i="41"/>
  <c r="F45" i="41"/>
  <c r="F10" i="41"/>
  <c r="F6" i="41"/>
  <c r="F35" i="41"/>
  <c r="B53" i="41"/>
  <c r="H53" i="41"/>
  <c r="F31" i="41"/>
  <c r="AT9" i="11"/>
  <c r="AT5" i="29"/>
  <c r="F50" i="41"/>
  <c r="AT4" i="15"/>
  <c r="F40" i="41"/>
  <c r="AT5" i="26"/>
  <c r="F46" i="41"/>
  <c r="E53" i="41"/>
  <c r="F33" i="41"/>
  <c r="AT4" i="13"/>
  <c r="AT5" i="28"/>
  <c r="F49" i="41"/>
  <c r="F32" i="41"/>
  <c r="AT4" i="12"/>
  <c r="D53" i="41"/>
  <c r="AT5" i="35"/>
  <c r="F39" i="41"/>
  <c r="C53" i="41"/>
  <c r="AT7" i="9"/>
  <c r="G53" i="41"/>
  <c r="F29" i="41"/>
  <c r="AT9" i="9"/>
  <c r="I53" i="41"/>
  <c r="F21" i="41" l="1"/>
  <c r="AQ5" i="28"/>
  <c r="R19" i="32"/>
  <c r="AQ4" i="36"/>
  <c r="F16" i="41"/>
  <c r="AQ4" i="29"/>
  <c r="F22" i="41"/>
  <c r="J6" i="31"/>
  <c r="R16" i="32"/>
  <c r="Q16" i="32"/>
  <c r="P22" i="32"/>
  <c r="AQ3" i="10"/>
  <c r="F4" i="41"/>
  <c r="R7" i="44"/>
  <c r="Q7" i="44"/>
  <c r="O12" i="44"/>
  <c r="E62" i="41"/>
  <c r="F62" i="41" s="1"/>
  <c r="F5" i="31"/>
  <c r="P5" i="31" s="1"/>
  <c r="E3" i="31"/>
  <c r="P3" i="31" s="1"/>
  <c r="C69" i="41"/>
  <c r="F69" i="41" s="1"/>
  <c r="C59" i="41"/>
  <c r="F59" i="41" s="1"/>
  <c r="AQ3" i="13"/>
  <c r="F8" i="41"/>
  <c r="G68" i="41"/>
  <c r="G58" i="41"/>
  <c r="H2" i="31"/>
  <c r="I58" i="41"/>
  <c r="I68" i="41"/>
  <c r="O8" i="31"/>
  <c r="E61" i="41"/>
  <c r="F61" i="41" s="1"/>
  <c r="E71" i="41"/>
  <c r="F71" i="41" s="1"/>
  <c r="E4" i="31"/>
  <c r="P4" i="31" s="1"/>
  <c r="C70" i="41"/>
  <c r="F70" i="41" s="1"/>
  <c r="R10" i="32"/>
  <c r="AQ4" i="26"/>
  <c r="F19" i="41"/>
  <c r="AQ5" i="9"/>
  <c r="F3" i="41"/>
  <c r="F5" i="41"/>
  <c r="AQ4" i="14"/>
  <c r="AQ4" i="12"/>
  <c r="F17" i="41"/>
  <c r="AQ4" i="24"/>
  <c r="H73" i="41"/>
  <c r="H63" i="41"/>
  <c r="D6" i="31"/>
  <c r="B63" i="41"/>
  <c r="F63" i="41" s="1"/>
  <c r="R9" i="44"/>
  <c r="Q9" i="44"/>
  <c r="R23" i="44"/>
  <c r="Q23" i="44"/>
  <c r="P26" i="44"/>
  <c r="Q26" i="44" s="1"/>
  <c r="R10" i="44"/>
  <c r="Q22" i="32" l="1"/>
  <c r="R22" i="32"/>
  <c r="H8" i="31"/>
  <c r="J2" i="31"/>
  <c r="R26" i="44"/>
  <c r="Q12" i="44"/>
  <c r="R12" i="44"/>
</calcChain>
</file>

<file path=xl/sharedStrings.xml><?xml version="1.0" encoding="utf-8"?>
<sst xmlns="http://schemas.openxmlformats.org/spreadsheetml/2006/main" count="3767" uniqueCount="531">
  <si>
    <t>PL</t>
  </si>
  <si>
    <t>W</t>
  </si>
  <si>
    <t>D</t>
  </si>
  <si>
    <t>L</t>
  </si>
  <si>
    <t>F</t>
  </si>
  <si>
    <t>A</t>
  </si>
  <si>
    <t>Scores</t>
  </si>
  <si>
    <t>Cards</t>
  </si>
  <si>
    <t>Att</t>
  </si>
  <si>
    <t>HT</t>
  </si>
  <si>
    <t>Referee</t>
  </si>
  <si>
    <t>TMO</t>
  </si>
  <si>
    <t>T</t>
  </si>
  <si>
    <t>C</t>
  </si>
  <si>
    <t>P</t>
  </si>
  <si>
    <t>Y</t>
  </si>
  <si>
    <t>R</t>
  </si>
  <si>
    <t>Opponents</t>
  </si>
  <si>
    <t>Cmp</t>
  </si>
  <si>
    <t>Date</t>
  </si>
  <si>
    <t>OVERALL</t>
  </si>
  <si>
    <t>TB</t>
  </si>
  <si>
    <t>LB</t>
  </si>
  <si>
    <t>Bonus</t>
  </si>
  <si>
    <t>Result</t>
  </si>
  <si>
    <t>Conceded</t>
  </si>
  <si>
    <t>AR1</t>
  </si>
  <si>
    <t>AR2</t>
  </si>
  <si>
    <t>© Hillsport Media Ltd</t>
  </si>
  <si>
    <t>Australia</t>
  </si>
  <si>
    <t>England</t>
  </si>
  <si>
    <t>Fiji</t>
  </si>
  <si>
    <t>Wales</t>
  </si>
  <si>
    <t>Italy</t>
  </si>
  <si>
    <t>France</t>
  </si>
  <si>
    <t>Scotland</t>
  </si>
  <si>
    <t>Japan</t>
  </si>
  <si>
    <t>Argentina</t>
  </si>
  <si>
    <t>Georgia</t>
  </si>
  <si>
    <t>Ireland</t>
  </si>
  <si>
    <t>Canada</t>
  </si>
  <si>
    <t>Gd</t>
  </si>
  <si>
    <t>Away</t>
  </si>
  <si>
    <t>Neutral Ground</t>
  </si>
  <si>
    <t>Home</t>
  </si>
  <si>
    <t>INT</t>
  </si>
  <si>
    <t>6N</t>
  </si>
  <si>
    <t>Pos</t>
  </si>
  <si>
    <t>Chg</t>
  </si>
  <si>
    <t>DIFF</t>
  </si>
  <si>
    <t>PTS</t>
  </si>
  <si>
    <t>→</t>
  </si>
  <si>
    <t>TF</t>
  </si>
  <si>
    <t>TA</t>
  </si>
  <si>
    <t>Yellows</t>
  </si>
  <si>
    <t>Reds</t>
  </si>
  <si>
    <t>Pts</t>
  </si>
  <si>
    <t>TOTALS</t>
  </si>
  <si>
    <t xml:space="preserve"> </t>
  </si>
  <si>
    <t>Teams ordered on unofficial “points” ratio of “2” for a Red, “1” for a Yellow</t>
  </si>
  <si>
    <t>USA</t>
  </si>
  <si>
    <t>HOME</t>
  </si>
  <si>
    <t>AWAY</t>
  </si>
  <si>
    <t>NEUTRAL</t>
  </si>
  <si>
    <t>GSB</t>
  </si>
  <si>
    <t>TB = Try Bonus Points; LB = Losing Bonus Points; GSB = Grand Slam Bonus Points</t>
  </si>
  <si>
    <t>BT Murrayfield</t>
  </si>
  <si>
    <t>Twickenham</t>
  </si>
  <si>
    <t>Stadio Olimpico</t>
  </si>
  <si>
    <t>Principality Stadium</t>
  </si>
  <si>
    <t>Stade de France</t>
  </si>
  <si>
    <t xml:space="preserve">BT Murrayfield </t>
  </si>
  <si>
    <t>Aviva Stadium</t>
  </si>
  <si>
    <t> 10</t>
  </si>
  <si>
    <t> 9</t>
  </si>
  <si>
    <t> 27</t>
  </si>
  <si>
    <t> 23</t>
  </si>
  <si>
    <t> 40</t>
  </si>
  <si>
    <t>19 </t>
  </si>
  <si>
    <t>10 </t>
  </si>
  <si>
    <t>20 </t>
  </si>
  <si>
    <t>36 </t>
  </si>
  <si>
    <t>21 </t>
  </si>
  <si>
    <t>58 </t>
  </si>
  <si>
    <t>15 </t>
  </si>
  <si>
    <t>25 </t>
  </si>
  <si>
    <t>29 </t>
  </si>
  <si>
    <t>18 </t>
  </si>
  <si>
    <t> 67</t>
  </si>
  <si>
    <t>14 </t>
  </si>
  <si>
    <t> 35</t>
  </si>
  <si>
    <t>Millennium Stadium</t>
  </si>
  <si>
    <t>Points Scored</t>
  </si>
  <si>
    <t>Minutes S/handed</t>
  </si>
  <si>
    <t>Opponent</t>
  </si>
  <si>
    <t>Ave per 10 mins</t>
  </si>
  <si>
    <t>14 men</t>
  </si>
  <si>
    <t>13 men</t>
  </si>
  <si>
    <t>12 men</t>
  </si>
  <si>
    <t>11 men</t>
  </si>
  <si>
    <t>Total</t>
  </si>
  <si>
    <t>Also S/H</t>
  </si>
  <si>
    <t>POWERPLAYS (periods when teams are playing against short-handed opposition only)</t>
  </si>
  <si>
    <t>15 v 14</t>
  </si>
  <si>
    <t>15 v 13</t>
  </si>
  <si>
    <t>Russia</t>
  </si>
  <si>
    <t>Uruguay</t>
  </si>
  <si>
    <t>na</t>
  </si>
  <si>
    <t>ALL TESTS</t>
  </si>
  <si>
    <t>AMERICAS CHAMPS</t>
  </si>
  <si>
    <t>SIX NATIONS</t>
  </si>
  <si>
    <t>RUGBY EUROPE</t>
  </si>
  <si>
    <t>REC</t>
  </si>
  <si>
    <t>Orange Velodrome</t>
  </si>
  <si>
    <t>Car</t>
  </si>
  <si>
    <t>Prs</t>
  </si>
  <si>
    <t>Rm</t>
  </si>
  <si>
    <t>Dbl</t>
  </si>
  <si>
    <t>Tw</t>
  </si>
  <si>
    <t>Mfl</t>
  </si>
  <si>
    <t>N Zealand</t>
  </si>
  <si>
    <t>Andrew Brace (Ire)</t>
  </si>
  <si>
    <t>Romain Poite (Fra)</t>
  </si>
  <si>
    <t>Rowan Kitt (Eng)</t>
  </si>
  <si>
    <t>Wayne Barnes (Eng)</t>
  </si>
  <si>
    <t>Luke Pearce (Eng)</t>
  </si>
  <si>
    <t>Federico Anselmi (Arg)</t>
  </si>
  <si>
    <t>Mathieu Raynal (Fra)</t>
  </si>
  <si>
    <t>Glenn Newman (Nzl)</t>
  </si>
  <si>
    <t>Tonga</t>
  </si>
  <si>
    <t>Brendon Pickerill (Nzl)</t>
  </si>
  <si>
    <t>Samoa</t>
  </si>
  <si>
    <t>GMT</t>
  </si>
  <si>
    <t>Dbl = Aviva Stadium, Dublin; Tw = Twickenham Stadium, London</t>
  </si>
  <si>
    <t>Dbl = Aviva Stadium, Dublin; Mfl = BT Murrayfield, Edinburgh; Rm = Stadio Olimpico, Rome</t>
  </si>
  <si>
    <t>Namibia</t>
  </si>
  <si>
    <t>Pascal Gauzere (Fra)</t>
  </si>
  <si>
    <t>12-10</t>
  </si>
  <si>
    <t>7-12</t>
  </si>
  <si>
    <t>12-7</t>
  </si>
  <si>
    <t>Nigel Owens (Wal)</t>
  </si>
  <si>
    <t>Jaco Peyper (Rsa)</t>
  </si>
  <si>
    <t>Graham Hughes (Eng)</t>
  </si>
  <si>
    <t>Belgium</t>
  </si>
  <si>
    <t>Germany</t>
  </si>
  <si>
    <t>Romania</t>
  </si>
  <si>
    <t>Spain</t>
  </si>
  <si>
    <t>Portugal</t>
  </si>
  <si>
    <t>Marius Jonker (Rsa)</t>
  </si>
  <si>
    <t>Paul Williams (Nzl)</t>
  </si>
  <si>
    <t>Ben O'Keeffe (Nzl)</t>
  </si>
  <si>
    <t>Angus Gardner (Aus)</t>
  </si>
  <si>
    <t>Matthew Carley (Eng)</t>
  </si>
  <si>
    <t>n/a</t>
  </si>
  <si>
    <t>Frank Murphy (Ire)</t>
  </si>
  <si>
    <t>Soc</t>
  </si>
  <si>
    <t>Ludovic Cayre (Fra)</t>
  </si>
  <si>
    <t>Tom Foley (Eng)</t>
  </si>
  <si>
    <t>NATIONS CUP</t>
  </si>
  <si>
    <t>Ben Whitehouse (Wal)</t>
  </si>
  <si>
    <t>Val = Estadio Elías Figueroa Brander, Valparaiso; Jun = Estadio Jayme Cintra, Jundiai</t>
  </si>
  <si>
    <t>South Africa</t>
  </si>
  <si>
    <t>New Zealand</t>
  </si>
  <si>
    <t>Wl</t>
  </si>
  <si>
    <t>Bb</t>
  </si>
  <si>
    <t>Akl</t>
  </si>
  <si>
    <t>Par</t>
  </si>
  <si>
    <t>WORLD CUP</t>
  </si>
  <si>
    <t>PACIFIC NATIONS CUP</t>
  </si>
  <si>
    <t>Tries Scored</t>
  </si>
  <si>
    <t>Played</t>
  </si>
  <si>
    <t>Won</t>
  </si>
  <si>
    <t>Lost</t>
  </si>
  <si>
    <t>%</t>
  </si>
  <si>
    <t>Pts For</t>
  </si>
  <si>
    <t>Pts Aga</t>
  </si>
  <si>
    <t>Tries For</t>
  </si>
  <si>
    <t>Drawn</t>
  </si>
  <si>
    <t>Pts Scored</t>
  </si>
  <si>
    <t>Pts Conceded</t>
  </si>
  <si>
    <t>ARGENTINA</t>
  </si>
  <si>
    <t>AUSTRALIA</t>
  </si>
  <si>
    <t>CANADA</t>
  </si>
  <si>
    <t>ENGLAND</t>
  </si>
  <si>
    <t>PAC NATIONS CUP</t>
  </si>
  <si>
    <t>FIJI</t>
  </si>
  <si>
    <t>FRANCE</t>
  </si>
  <si>
    <t>GEORGIA</t>
  </si>
  <si>
    <t>IRELAND</t>
  </si>
  <si>
    <t>ITALY</t>
  </si>
  <si>
    <t>JAPAN</t>
  </si>
  <si>
    <t>NAMIBIA</t>
  </si>
  <si>
    <t>N ZEALAND</t>
  </si>
  <si>
    <t>RUSSIA</t>
  </si>
  <si>
    <t>SAMOA</t>
  </si>
  <si>
    <t>Ivory Coast</t>
  </si>
  <si>
    <t>Zimbabwe</t>
  </si>
  <si>
    <t>Tournaments</t>
  </si>
  <si>
    <t>United States</t>
  </si>
  <si>
    <t>SCOTLAND</t>
  </si>
  <si>
    <t>S AFRICA</t>
  </si>
  <si>
    <t>TONGA</t>
  </si>
  <si>
    <t>tbc = to be confirmed</t>
  </si>
  <si>
    <t>URUGUAY</t>
  </si>
  <si>
    <t>WALES</t>
  </si>
  <si>
    <t>9-20</t>
  </si>
  <si>
    <t>20-9</t>
  </si>
  <si>
    <t>Mike Fraser (Nzl)</t>
  </si>
  <si>
    <t>7-10</t>
  </si>
  <si>
    <t>10-7</t>
  </si>
  <si>
    <t>21-0</t>
  </si>
  <si>
    <t>0-21</t>
  </si>
  <si>
    <t>20-13</t>
  </si>
  <si>
    <t>13-20</t>
  </si>
  <si>
    <t>17-0</t>
  </si>
  <si>
    <t>0-17</t>
  </si>
  <si>
    <t>8-3</t>
  </si>
  <si>
    <t>3-8</t>
  </si>
  <si>
    <t>James Leckie (Aus)</t>
  </si>
  <si>
    <t>17-9</t>
  </si>
  <si>
    <t>BPs</t>
  </si>
  <si>
    <t>(Includes Cancelled)</t>
  </si>
  <si>
    <t>ENGLAND IN 2020</t>
  </si>
  <si>
    <t>FRANCE IN 2020</t>
  </si>
  <si>
    <t xml:space="preserve">ALL TESTS </t>
  </si>
  <si>
    <t>IRELAND IN 2020</t>
  </si>
  <si>
    <t xml:space="preserve">Penalty Tries: </t>
  </si>
  <si>
    <t>ITALY IN 2020</t>
  </si>
  <si>
    <t>SCOTLAND IN 2020</t>
  </si>
  <si>
    <t>WALES IN 2020</t>
  </si>
  <si>
    <t>After Round 1 (Feb 2 Evening - Feb 8 Morning)</t>
  </si>
  <si>
    <t>tbc = To be confirmed</t>
  </si>
  <si>
    <t>Prs = Stade de France, Paris; Mfl = BT Murrayfield, Edinburgh</t>
  </si>
  <si>
    <t>Tw = Twickenham Stadium, London; Rm = Stadio Olimpico, Rome</t>
  </si>
  <si>
    <t>Prs = Stade de France, Paris; Car = Principality Stadium, Cardiff</t>
  </si>
  <si>
    <t>Prs = Stade de France, Paris; Bb = Suncorp Stadium, Brisbane</t>
  </si>
  <si>
    <t>Scg = Sydney Cricket Ground, Sydney</t>
  </si>
  <si>
    <t>Car = Principality Stadium, Cardiff; Prs = Stade de France, Paris; Rm = Stadio Olimpico, Rome</t>
  </si>
  <si>
    <t>Car = Principality Stadium, Cardiff; Dbl = Aviva Stadium, Dublin</t>
  </si>
  <si>
    <t>SIX NATIONS CHAMPIONSHIP (2000-)</t>
  </si>
  <si>
    <t>10-6</t>
  </si>
  <si>
    <t>6-10</t>
  </si>
  <si>
    <t>Brian MacNeice (Ire)</t>
  </si>
  <si>
    <t>Six Nations</t>
  </si>
  <si>
    <t>Rugby Europe Championship</t>
  </si>
  <si>
    <t>Six Nations/Centenary Quaich</t>
  </si>
  <si>
    <t>RUSSIA IN 2020</t>
  </si>
  <si>
    <t>7-14</t>
  </si>
  <si>
    <t>Andrea Piardi (Ita)</t>
  </si>
  <si>
    <t>Federico Boraso (Ita)</t>
  </si>
  <si>
    <t>Emanuele Tomo (Ita)</t>
  </si>
  <si>
    <t>GEORGIA IN 2020</t>
  </si>
  <si>
    <t>Tbs</t>
  </si>
  <si>
    <t>8-6</t>
  </si>
  <si>
    <t>JP Doyle (Eng)</t>
  </si>
  <si>
    <t>Paul Dix (Eng)</t>
  </si>
  <si>
    <t>6-8</t>
  </si>
  <si>
    <t>ROMANIA IN 2020</t>
  </si>
  <si>
    <t>0-3</t>
  </si>
  <si>
    <t>3-0</t>
  </si>
  <si>
    <t>23-10</t>
  </si>
  <si>
    <t>10-23</t>
  </si>
  <si>
    <t>↑1</t>
  </si>
  <si>
    <t xml:space="preserve"> ↓2</t>
  </si>
  <si>
    <t>0-5</t>
  </si>
  <si>
    <t>5-0</t>
  </si>
  <si>
    <t>9-17</t>
  </si>
  <si>
    <t>Karl Dickson(Eng)</t>
  </si>
  <si>
    <t>Marius Jonker (rsa)</t>
  </si>
  <si>
    <t>↑2</t>
  </si>
  <si>
    <t>↓1</t>
  </si>
  <si>
    <t>After Round 2 (Feb 9 Evening - Feb 22 Morning)</t>
  </si>
  <si>
    <t>After Round 3 (Feb 23 Evening - Mar 7 Morning)</t>
  </si>
  <si>
    <t>Tuilagi</t>
  </si>
  <si>
    <r>
      <rPr>
        <sz val="11"/>
        <color rgb="FFFF0000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by Wal v Eng (Mar 7) - 6 mins of which v 13 men</t>
    </r>
  </si>
  <si>
    <t>14-7</t>
  </si>
  <si>
    <t>Haouas</t>
  </si>
  <si>
    <t>Most points scored in 10-minute Powerplay:</t>
  </si>
  <si>
    <r>
      <rPr>
        <sz val="11"/>
        <color rgb="FFFF0000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by Sco v Fra (Mar 8)</t>
    </r>
  </si>
  <si>
    <t>Switzerland</t>
  </si>
  <si>
    <t>Netherlands</t>
  </si>
  <si>
    <t>Poland</t>
  </si>
  <si>
    <t>Lithuania</t>
  </si>
  <si>
    <t>Six Nations / Auld Alliance Trophy</t>
  </si>
  <si>
    <t>Aviva Stadium, Dublin</t>
  </si>
  <si>
    <t>Stade de France, Paris</t>
  </si>
  <si>
    <t>BT Murrayfield, Edinburgh</t>
  </si>
  <si>
    <t>Twickenham, London</t>
  </si>
  <si>
    <t>Fisht Olympic Stadium, Sochi</t>
  </si>
  <si>
    <t>Principality Stadium, Cardiff</t>
  </si>
  <si>
    <t>Boris Paichadze Stadium, Tbilisi</t>
  </si>
  <si>
    <t>Universitario, Lisbon</t>
  </si>
  <si>
    <t>Bru</t>
  </si>
  <si>
    <t>Soc = Fisht Olympic Stadium, Sochi; Bru = Fallonstadion, Brussels</t>
  </si>
  <si>
    <t>Rugby Europe Trophy</t>
  </si>
  <si>
    <t>Fallonstadion, Brussels</t>
  </si>
  <si>
    <t>Shota Tevzadze (Geo)</t>
  </si>
  <si>
    <t>Tornike Gvirjishvili (Geo)</t>
  </si>
  <si>
    <t>Shota Tsagareishvili (Geo)</t>
  </si>
  <si>
    <t>Complexo Desportivo, Caldas da Rainha</t>
  </si>
  <si>
    <t>Tbs = Boris Paichadze Dinamo Arena, Tbilisi; Cdr = Complexo Desportivo, Caldas da Rainha</t>
  </si>
  <si>
    <t>Cdr</t>
  </si>
  <si>
    <t>6-17</t>
  </si>
  <si>
    <t>Laurent Cardona (Fra)</t>
  </si>
  <si>
    <t>Thierry Mallet (Fra)</t>
  </si>
  <si>
    <t>Mad</t>
  </si>
  <si>
    <t>Tbs = Boris Paichadze Dinamo Arena, Tbilisi; Mad = Campo Universitario, Madrid</t>
  </si>
  <si>
    <t>23-5</t>
  </si>
  <si>
    <t>Craig Evans (Wal)</t>
  </si>
  <si>
    <t>Aled Evans (Wal)</t>
  </si>
  <si>
    <t>Mike English (Wal)</t>
  </si>
  <si>
    <t>Kut</t>
  </si>
  <si>
    <t>33-6</t>
  </si>
  <si>
    <t>Cristian Serban (Rom)</t>
  </si>
  <si>
    <t>Radu Petrescu (Rom)</t>
  </si>
  <si>
    <t>Mihai Vacaru (Rom)</t>
  </si>
  <si>
    <t>AIA Arena, Kutaisi</t>
  </si>
  <si>
    <t>Campo Universitario, Madrid</t>
  </si>
  <si>
    <t>Stadio Olimpico, Rome</t>
  </si>
  <si>
    <t>Bot</t>
  </si>
  <si>
    <t>Stadionul Municipal, Botosani</t>
  </si>
  <si>
    <t>6-0</t>
  </si>
  <si>
    <t>Nika Amashukeli (Geo)</t>
  </si>
  <si>
    <t>Kal</t>
  </si>
  <si>
    <t>Kaliningrad Stadiium, Kaliningrad</t>
  </si>
  <si>
    <t>19-7</t>
  </si>
  <si>
    <t>Inigo Atorrasagasti (Esp)</t>
  </si>
  <si>
    <t>Inaki Munoz Martin (Esp)</t>
  </si>
  <si>
    <t>Jon Ibisate Alday (Esp)</t>
  </si>
  <si>
    <t>Fritz Grunebaum Sportpark, Heidelberg</t>
  </si>
  <si>
    <t>National Rugby Centre, Amsterdam</t>
  </si>
  <si>
    <t>Kra</t>
  </si>
  <si>
    <t>Trud Stadium, Krasnodar</t>
  </si>
  <si>
    <t>Bot = Stadionul Municipal, Botosani; Kra = Trud Stadium, Krasnodar</t>
  </si>
  <si>
    <t>Kal = Kaliningrad Stadiium, Kaliningrad; Kra = Trud Stadium, Krasnodar</t>
  </si>
  <si>
    <t>Dan Jones (Wal)</t>
  </si>
  <si>
    <t>Tom Spurrier (Wal)</t>
  </si>
  <si>
    <t>Stade Jean Bouin, Paris</t>
  </si>
  <si>
    <t>Penalty Tries: v Bel (22 Feb), v Por (7 Mar)</t>
  </si>
  <si>
    <t>17-14</t>
  </si>
  <si>
    <t>Ben Blain (Sco)</t>
  </si>
  <si>
    <t>Ross Mabon (Sco)</t>
  </si>
  <si>
    <t>Neil Muir (Sco)</t>
  </si>
  <si>
    <t>Bledisloe Cup</t>
  </si>
  <si>
    <t>AUSTRALIA IN 2020</t>
  </si>
  <si>
    <t>BC</t>
  </si>
  <si>
    <t>BLEDISLOE CUP</t>
  </si>
  <si>
    <t>as at 07/09/23</t>
  </si>
  <si>
    <t>Syd</t>
  </si>
  <si>
    <t>Wl = SKY Stadium, Wellington; Akl = Eden Park, Auckland: Syd = ANZ Stadium, Sydney;</t>
  </si>
  <si>
    <t>Nw</t>
  </si>
  <si>
    <t>Bb = Suncorp Stadium, Brisbane; Nw = McDonald Jones Stadium, Newcastle</t>
  </si>
  <si>
    <t>Sy</t>
  </si>
  <si>
    <t>Sy = Bankwest Stadium, Sydney</t>
  </si>
  <si>
    <t>NEW ZEALAND IN 2020</t>
  </si>
  <si>
    <t>Nw = McDonald Jones Stadium, Newcastle</t>
  </si>
  <si>
    <t>Bb = Suncorp Stadium, Brisbane; Sy = Bankwest Stadium, Sydney</t>
  </si>
  <si>
    <t>SKY Stadium, Wellington</t>
  </si>
  <si>
    <t>Eden Park, Auckland</t>
  </si>
  <si>
    <t>Kut = AIA Arena, Kutaisi; Par = Stade Jean Bouin, Paris; Mfl = BT Murrayfield, Edinburgh</t>
  </si>
  <si>
    <t>Tw = Twickenham Stadium, London; Prs = Stade de France, Paris</t>
  </si>
  <si>
    <t>URUGUAY IN 2020</t>
  </si>
  <si>
    <t>ANC</t>
  </si>
  <si>
    <t>Lli</t>
  </si>
  <si>
    <t>Lli - Parc y Scarlets, Llanelli</t>
  </si>
  <si>
    <t>Tw = Twickenham Stadium, London; Lli - Parc y Scarlets, Llanelli</t>
  </si>
  <si>
    <t>tbc = venue tbc</t>
  </si>
  <si>
    <t>6N = Six Nations; INT = International; ANC = Autumn Nations Cup</t>
  </si>
  <si>
    <t>6N = Six Nations; INT = International; ; ANC = Autumn Nations Cup</t>
  </si>
  <si>
    <t>FIJI IN 2020</t>
  </si>
  <si>
    <t>ARGENTINA IN 2020</t>
  </si>
  <si>
    <t>Sy = Bankwest Stadium, Sydney; Nw = McDonald Jones Stadium, Newcastle</t>
  </si>
  <si>
    <t>AUTUMN NATS CUP</t>
  </si>
  <si>
    <t>INTERNATIONALS</t>
  </si>
  <si>
    <t>CANADA IN 2020</t>
  </si>
  <si>
    <t>JAPAN IN 2020</t>
  </si>
  <si>
    <t>NAMIBIA IN 2020</t>
  </si>
  <si>
    <t>SAMOA IN 2020</t>
  </si>
  <si>
    <t>SOUTH AFRICA IN 2020</t>
  </si>
  <si>
    <t>USA IN 2020</t>
  </si>
  <si>
    <t>TONGA IN 2020</t>
  </si>
  <si>
    <t>GROUP A</t>
  </si>
  <si>
    <t>TB = Try Bonus Points; LB = Losing Bonus Points</t>
  </si>
  <si>
    <t>GROUP B</t>
  </si>
  <si>
    <t>GROUP</t>
  </si>
  <si>
    <t>B</t>
  </si>
  <si>
    <t>DATE</t>
  </si>
  <si>
    <t>Parc y Scarlets, Llanelli</t>
  </si>
  <si>
    <t>Alex Ruiz (Fra)</t>
  </si>
  <si>
    <t>Marius Mitrea (Ita)</t>
  </si>
  <si>
    <t>24-3</t>
  </si>
  <si>
    <r>
      <rPr>
        <sz val="11"/>
        <color rgb="FFFF0000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by Ire v Ita (Oct 24)</t>
    </r>
  </si>
  <si>
    <t>Christophe Ridley (Eng)</t>
  </si>
  <si>
    <t>3-24</t>
  </si>
  <si>
    <t>Parc y Scarlets</t>
  </si>
  <si>
    <t>International</t>
  </si>
  <si>
    <t>↓2</t>
  </si>
  <si>
    <t>*After Round 4 (Oct 24 Evening - Oct 31 Morning)</t>
  </si>
  <si>
    <t>*Schedule disrupted by Covid-19 pandemic</t>
  </si>
  <si>
    <t>21-13</t>
  </si>
  <si>
    <t>Karl Dickson (Eng)</t>
  </si>
  <si>
    <t>Ian Tempest (Eng)</t>
  </si>
  <si>
    <t>13-21</t>
  </si>
  <si>
    <t>0-26</t>
  </si>
  <si>
    <t>Nic Berry (Aus)</t>
  </si>
  <si>
    <t>26-0</t>
  </si>
  <si>
    <t>The 43-5 win on 31 Oct was Nzl's biggest ever victory v Aus</t>
  </si>
  <si>
    <t>Tri Nations</t>
  </si>
  <si>
    <t>ANZ Stadium, Sydney</t>
  </si>
  <si>
    <t>Six Nations/Doddie Weir Cup</t>
  </si>
  <si>
    <t>10-14</t>
  </si>
  <si>
    <t>14-10</t>
  </si>
  <si>
    <t>5-10</t>
  </si>
  <si>
    <t>Mike Adamson (Sco)</t>
  </si>
  <si>
    <t>Flo</t>
  </si>
  <si>
    <t>Dbl = Aviva Stadium, Dublin; Flo = Stadio Artemio Franchi, Florence</t>
  </si>
  <si>
    <t>Car = Principality Stadium, Cardiff; Flo = Stadio Artemio Franchi, Florence</t>
  </si>
  <si>
    <t>Stadio Artemio Franchi, Florence</t>
  </si>
  <si>
    <t>Van</t>
  </si>
  <si>
    <t>Van = Stade de la Rabine, Vannes; Mfl = BT Murrayfield, Edinburgh</t>
  </si>
  <si>
    <t>Anc</t>
  </si>
  <si>
    <t>Anc = Stadio del Conero, Ancona; ANC = Autumn Nations Cup</t>
  </si>
  <si>
    <t>10-5</t>
  </si>
  <si>
    <t>Genge, Hill</t>
  </si>
  <si>
    <t>Polledri, Zani</t>
  </si>
  <si>
    <t>:</t>
  </si>
  <si>
    <t>17-13</t>
  </si>
  <si>
    <t>13-17</t>
  </si>
  <si>
    <t>Penalty Tries: v Ire (31 Oct)</t>
  </si>
  <si>
    <t>at end of tournament</t>
  </si>
  <si>
    <t>Alldritt, Bouthier, Cros, Haouas</t>
  </si>
  <si>
    <t>Doris, Murray, Stander</t>
  </si>
  <si>
    <r>
      <rPr>
        <sz val="11"/>
        <color rgb="FFFF0000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by Wal v Ire (Feb 8), by Wal v Fra x2 (Feb 22), by Sco v Ita (Feb 22), by Eng v Ita (Oct 31) &amp; by Ire v Fra (Oct 31)</t>
    </r>
  </si>
  <si>
    <r>
      <rPr>
        <sz val="11"/>
        <color rgb="FFFF0000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by Fra v Ire (Oct 31)</t>
    </r>
  </si>
  <si>
    <t>Mv</t>
  </si>
  <si>
    <t>Mv = Estadio Churria, Montevideo</t>
  </si>
  <si>
    <t>10-15</t>
  </si>
  <si>
    <t>Damian Schneider  (Arg)</t>
  </si>
  <si>
    <t>Nethuen Jaun Rivero (Arg)</t>
  </si>
  <si>
    <t>Estadio Churria, Uruguay</t>
  </si>
  <si>
    <t>Lli = Parc y Scarlets, Llanelli; tbc = To be confirmed</t>
  </si>
  <si>
    <t>2nd Test</t>
  </si>
  <si>
    <t>1st Test</t>
  </si>
  <si>
    <t>13-0</t>
  </si>
  <si>
    <t>8-8</t>
  </si>
  <si>
    <t>Ben O'Keeffe (Aus)</t>
  </si>
  <si>
    <t>TN</t>
  </si>
  <si>
    <t>TRI NATIONS</t>
  </si>
  <si>
    <t>Suncorp Stadium, Brisbane</t>
  </si>
  <si>
    <t>Mfl = BT Murrayfield, Edinburgh; Van = Stade de la Rabine, Vannes</t>
  </si>
  <si>
    <t>Dbl = Aviva Stadium, Dublin; tbc = to be confirmed</t>
  </si>
  <si>
    <t>ANC = Autumn Nations Cup; REC = Rugby Europe Championship</t>
  </si>
  <si>
    <t>Autumn Nations Cup</t>
  </si>
  <si>
    <t>16-6</t>
  </si>
  <si>
    <t>6-16</t>
  </si>
  <si>
    <t>16-3</t>
  </si>
  <si>
    <t>3-16</t>
  </si>
  <si>
    <t>Bankwest Stadium, Sydney (Parramatta)</t>
  </si>
  <si>
    <t>11-7</t>
  </si>
  <si>
    <t>Karl Dickson (eng)</t>
  </si>
  <si>
    <t>7-11</t>
  </si>
  <si>
    <t>Adam Jones (Wal)</t>
  </si>
  <si>
    <t>Nb. "All Tests" totals do not include figures from cancelled matches</t>
  </si>
  <si>
    <t>Ranking positions are decided as follows:</t>
  </si>
  <si>
    <t xml:space="preserve">- Most League Points </t>
  </si>
  <si>
    <t>- Best Points Difference</t>
  </si>
  <si>
    <t>- Most Tries Scored (including penalty tries)</t>
  </si>
  <si>
    <t>- Fewest Penalties Conceded</t>
  </si>
  <si>
    <t xml:space="preserve">- Highest World Rugby Ranking (as at 12 November 2020) </t>
  </si>
  <si>
    <t>9-6</t>
  </si>
  <si>
    <t>6-9</t>
  </si>
  <si>
    <t>Brazil</t>
  </si>
  <si>
    <t>Tri Nations/Puma Trophy</t>
  </si>
  <si>
    <t>McDonald Jones Stadium, Newcastle (Aus)</t>
  </si>
  <si>
    <t>Six Nations/Calcutta Cup</t>
  </si>
  <si>
    <t>Six Nations/Trophee Garibaldi</t>
  </si>
  <si>
    <t>Six Nations/Millennium Trophy</t>
  </si>
  <si>
    <t>Estadio Nacional, Lisbon</t>
  </si>
  <si>
    <t>12-0</t>
  </si>
  <si>
    <t>0-12</t>
  </si>
  <si>
    <t>10-0</t>
  </si>
  <si>
    <t>Joy Neville (Ire)</t>
  </si>
  <si>
    <t>0-10</t>
  </si>
  <si>
    <t>Saginadze</t>
  </si>
  <si>
    <t>12-12</t>
  </si>
  <si>
    <t>Nika Amashukeli (Geo)</t>
  </si>
  <si>
    <t>Nic Bery (Aus)</t>
  </si>
  <si>
    <t>7th PO</t>
  </si>
  <si>
    <t>3rd PO</t>
  </si>
  <si>
    <t>5th PO</t>
  </si>
  <si>
    <t>Tw = Twickenham</t>
  </si>
  <si>
    <t>Sam Grove-White (Sco)</t>
  </si>
  <si>
    <t>Anc = Stadio del Conero, Ancona; Lli = Parc y Scarlets, Llanelli</t>
  </si>
  <si>
    <t>19 by Fra v Ita (Nv 28)</t>
  </si>
  <si>
    <t>Trulla</t>
  </si>
  <si>
    <t>20-7</t>
  </si>
  <si>
    <t>7-20</t>
  </si>
  <si>
    <t>6-13</t>
  </si>
  <si>
    <t>Damon Murphy (Aus)</t>
  </si>
  <si>
    <t>Jordan Way (Aus)</t>
  </si>
  <si>
    <t>13-6</t>
  </si>
  <si>
    <t>NO MATCHES PLAYED IN 2020 DUE TO COVID-19 PANDEMIC</t>
  </si>
  <si>
    <t>10-19</t>
  </si>
  <si>
    <t>19-10</t>
  </si>
  <si>
    <t>Match cancelled due to positive Covid-19 tests in Fiji camp</t>
  </si>
  <si>
    <t>11-9</t>
  </si>
  <si>
    <t>9-11</t>
  </si>
  <si>
    <t>Taylor</t>
  </si>
  <si>
    <t>14-13</t>
  </si>
  <si>
    <t>13-14</t>
  </si>
  <si>
    <t>Adams</t>
  </si>
  <si>
    <t>Autumn Nations Cup 7th/8th Place Play-off</t>
  </si>
  <si>
    <t>Autumn Nations Cup 3rd/4th Place Play-off</t>
  </si>
  <si>
    <t>Autumn Nations Cup 5th/6th Place Play-off</t>
  </si>
  <si>
    <t>*France</t>
  </si>
  <si>
    <t>*Won After Sudden Death Extra Time; Score at 80 mins: 19-19</t>
  </si>
  <si>
    <t>Andrew Brace (ire)</t>
  </si>
  <si>
    <t>Craig Evans (wal)</t>
  </si>
  <si>
    <t>*Lost After Sudden Death Extra Time; Score at 80 mins: 19-19</t>
  </si>
  <si>
    <t>*England</t>
  </si>
  <si>
    <t>at end of the tournament</t>
  </si>
  <si>
    <t>*Final</t>
  </si>
  <si>
    <t>~Stadio del Conero, Ancona</t>
  </si>
  <si>
    <t>~Stade de la Rabine, Vannes</t>
  </si>
  <si>
    <t>~BT Murrayfield, Edinburgh</t>
  </si>
  <si>
    <t>~Matches awarded 28-0 to Fiji's opponents due to positive Covid-19 tests in their camp forcing them to be cancelled</t>
  </si>
  <si>
    <t>Autumn Nations Cup Final</t>
  </si>
  <si>
    <t xml:space="preserve">    HT</t>
  </si>
  <si>
    <t>as at 23/01/21</t>
  </si>
  <si>
    <t>as at 31/12/20</t>
  </si>
  <si>
    <t>INTERNATIONAL CHAMPIONSHIP (1883-)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</si>
</sst>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color theme="1"/>
      <name val="Calibri"/>
      <family val="2"/>
    </font>
    <font>
      <b/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theme="3" tint="0.59999389629810485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5" tint="0.59999389629810485"/>
      <name val="Calibri"/>
      <family val="2"/>
      <scheme val="minor"/>
    </font>
    <font>
      <sz val="11"/>
      <color theme="5" tint="0.59999389629810485"/>
      <name val="Calibri"/>
      <family val="2"/>
      <scheme val="minor"/>
    </font>
    <font>
      <b/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8" tint="0.39997558519241921"/>
      <name val="Calibri"/>
      <family val="2"/>
      <scheme val="minor"/>
    </font>
    <font>
      <sz val="11"/>
      <color theme="8" tint="0.39997558519241921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4B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A03A7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72">
    <xf numFmtId="0" fontId="0" fillId="0" borderId="0" xfId="0"/>
    <xf numFmtId="0" fontId="27" fillId="4" borderId="2" xfId="0" applyFont="1" applyFill="1" applyBorder="1"/>
    <xf numFmtId="0" fontId="28" fillId="4" borderId="7" xfId="0" applyFont="1" applyFill="1" applyBorder="1"/>
    <xf numFmtId="49" fontId="28" fillId="4" borderId="7" xfId="0" applyNumberFormat="1" applyFont="1" applyFill="1" applyBorder="1"/>
    <xf numFmtId="0" fontId="28" fillId="4" borderId="8" xfId="0" applyFont="1" applyFill="1" applyBorder="1"/>
    <xf numFmtId="0" fontId="28" fillId="4" borderId="9" xfId="0" applyFont="1" applyFill="1" applyBorder="1"/>
    <xf numFmtId="0" fontId="27" fillId="4" borderId="1" xfId="0" applyFont="1" applyFill="1" applyBorder="1"/>
    <xf numFmtId="0" fontId="27" fillId="4" borderId="10" xfId="0" applyFont="1" applyFill="1" applyBorder="1" applyAlignment="1">
      <alignment vertical="center" wrapText="1"/>
    </xf>
    <xf numFmtId="0" fontId="27" fillId="4" borderId="5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vertical="center" wrapText="1"/>
    </xf>
    <xf numFmtId="0" fontId="27" fillId="3" borderId="0" xfId="0" applyFont="1" applyFill="1"/>
    <xf numFmtId="0" fontId="0" fillId="3" borderId="0" xfId="0" applyFill="1"/>
    <xf numFmtId="0" fontId="30" fillId="0" borderId="0" xfId="0" applyFont="1"/>
    <xf numFmtId="0" fontId="29" fillId="9" borderId="1" xfId="0" applyFont="1" applyFill="1" applyBorder="1"/>
    <xf numFmtId="0" fontId="29" fillId="9" borderId="2" xfId="0" applyFont="1" applyFill="1" applyBorder="1"/>
    <xf numFmtId="0" fontId="29" fillId="9" borderId="11" xfId="0" applyFont="1" applyFill="1" applyBorder="1"/>
    <xf numFmtId="0" fontId="29" fillId="9" borderId="10" xfId="0" applyFont="1" applyFill="1" applyBorder="1" applyAlignment="1">
      <alignment vertical="center" wrapText="1"/>
    </xf>
    <xf numFmtId="0" fontId="29" fillId="9" borderId="5" xfId="0" applyFont="1" applyFill="1" applyBorder="1" applyAlignment="1">
      <alignment vertical="center" wrapText="1"/>
    </xf>
    <xf numFmtId="0" fontId="29" fillId="9" borderId="1" xfId="0" applyFont="1" applyFill="1" applyBorder="1" applyAlignment="1">
      <alignment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29" fillId="9" borderId="6" xfId="0" applyFont="1" applyFill="1" applyBorder="1" applyAlignment="1">
      <alignment horizontal="center" vertical="center" wrapText="1"/>
    </xf>
    <xf numFmtId="0" fontId="26" fillId="9" borderId="7" xfId="0" applyFont="1" applyFill="1" applyBorder="1"/>
    <xf numFmtId="49" fontId="26" fillId="9" borderId="7" xfId="0" applyNumberFormat="1" applyFont="1" applyFill="1" applyBorder="1"/>
    <xf numFmtId="0" fontId="26" fillId="9" borderId="8" xfId="0" applyFont="1" applyFill="1" applyBorder="1"/>
    <xf numFmtId="0" fontId="26" fillId="9" borderId="9" xfId="0" applyFont="1" applyFill="1" applyBorder="1"/>
    <xf numFmtId="0" fontId="21" fillId="10" borderId="1" xfId="0" applyFont="1" applyFill="1" applyBorder="1"/>
    <xf numFmtId="0" fontId="21" fillId="10" borderId="2" xfId="0" applyFont="1" applyFill="1" applyBorder="1"/>
    <xf numFmtId="0" fontId="21" fillId="10" borderId="11" xfId="0" applyFont="1" applyFill="1" applyBorder="1"/>
    <xf numFmtId="0" fontId="21" fillId="10" borderId="10" xfId="0" applyFont="1" applyFill="1" applyBorder="1" applyAlignment="1">
      <alignment vertical="center" wrapText="1"/>
    </xf>
    <xf numFmtId="0" fontId="21" fillId="10" borderId="5" xfId="0" applyFont="1" applyFill="1" applyBorder="1" applyAlignment="1">
      <alignment vertical="center" wrapText="1"/>
    </xf>
    <xf numFmtId="0" fontId="21" fillId="10" borderId="1" xfId="0" applyFont="1" applyFill="1" applyBorder="1" applyAlignment="1">
      <alignment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21" fillId="10" borderId="6" xfId="0" applyFont="1" applyFill="1" applyBorder="1" applyAlignment="1">
      <alignment horizontal="center" vertical="center" wrapText="1"/>
    </xf>
    <xf numFmtId="0" fontId="19" fillId="10" borderId="7" xfId="0" applyFont="1" applyFill="1" applyBorder="1"/>
    <xf numFmtId="49" fontId="19" fillId="10" borderId="7" xfId="0" applyNumberFormat="1" applyFont="1" applyFill="1" applyBorder="1"/>
    <xf numFmtId="0" fontId="19" fillId="10" borderId="8" xfId="0" applyFont="1" applyFill="1" applyBorder="1"/>
    <xf numFmtId="0" fontId="19" fillId="10" borderId="12" xfId="0" applyFont="1" applyFill="1" applyBorder="1"/>
    <xf numFmtId="0" fontId="19" fillId="10" borderId="9" xfId="0" applyFont="1" applyFill="1" applyBorder="1"/>
    <xf numFmtId="0" fontId="20" fillId="3" borderId="1" xfId="0" applyFont="1" applyFill="1" applyBorder="1"/>
    <xf numFmtId="0" fontId="20" fillId="3" borderId="2" xfId="0" applyFont="1" applyFill="1" applyBorder="1"/>
    <xf numFmtId="0" fontId="20" fillId="3" borderId="11" xfId="0" applyFont="1" applyFill="1" applyBorder="1"/>
    <xf numFmtId="0" fontId="20" fillId="3" borderId="5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0" fillId="3" borderId="7" xfId="0" applyFill="1" applyBorder="1"/>
    <xf numFmtId="49" fontId="0" fillId="3" borderId="7" xfId="0" applyNumberFormat="1" applyFill="1" applyBorder="1"/>
    <xf numFmtId="0" fontId="0" fillId="3" borderId="8" xfId="0" applyFill="1" applyBorder="1"/>
    <xf numFmtId="0" fontId="0" fillId="3" borderId="9" xfId="0" applyFill="1" applyBorder="1"/>
    <xf numFmtId="0" fontId="27" fillId="4" borderId="11" xfId="0" applyFont="1" applyFill="1" applyBorder="1"/>
    <xf numFmtId="0" fontId="28" fillId="4" borderId="12" xfId="0" applyFont="1" applyFill="1" applyBorder="1"/>
    <xf numFmtId="0" fontId="27" fillId="7" borderId="1" xfId="0" applyFont="1" applyFill="1" applyBorder="1"/>
    <xf numFmtId="0" fontId="27" fillId="7" borderId="2" xfId="0" applyFont="1" applyFill="1" applyBorder="1"/>
    <xf numFmtId="0" fontId="27" fillId="7" borderId="11" xfId="0" applyFont="1" applyFill="1" applyBorder="1"/>
    <xf numFmtId="0" fontId="27" fillId="7" borderId="10" xfId="0" applyFont="1" applyFill="1" applyBorder="1" applyAlignment="1">
      <alignment vertical="center" wrapText="1"/>
    </xf>
    <xf numFmtId="0" fontId="27" fillId="7" borderId="5" xfId="0" applyFont="1" applyFill="1" applyBorder="1" applyAlignment="1">
      <alignment vertical="center" wrapText="1"/>
    </xf>
    <xf numFmtId="0" fontId="27" fillId="7" borderId="1" xfId="0" applyFont="1" applyFill="1" applyBorder="1" applyAlignment="1">
      <alignment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28" fillId="7" borderId="7" xfId="0" applyFont="1" applyFill="1" applyBorder="1"/>
    <xf numFmtId="49" fontId="28" fillId="7" borderId="7" xfId="0" applyNumberFormat="1" applyFont="1" applyFill="1" applyBorder="1"/>
    <xf numFmtId="0" fontId="28" fillId="7" borderId="8" xfId="0" applyFont="1" applyFill="1" applyBorder="1"/>
    <xf numFmtId="0" fontId="28" fillId="7" borderId="12" xfId="0" applyFont="1" applyFill="1" applyBorder="1"/>
    <xf numFmtId="0" fontId="28" fillId="7" borderId="9" xfId="0" applyFont="1" applyFill="1" applyBorder="1"/>
    <xf numFmtId="0" fontId="27" fillId="12" borderId="1" xfId="0" applyFont="1" applyFill="1" applyBorder="1"/>
    <xf numFmtId="0" fontId="27" fillId="12" borderId="2" xfId="0" applyFont="1" applyFill="1" applyBorder="1"/>
    <xf numFmtId="0" fontId="27" fillId="12" borderId="11" xfId="0" applyFont="1" applyFill="1" applyBorder="1"/>
    <xf numFmtId="0" fontId="27" fillId="12" borderId="10" xfId="0" applyFont="1" applyFill="1" applyBorder="1" applyAlignment="1">
      <alignment vertical="center" wrapText="1"/>
    </xf>
    <xf numFmtId="0" fontId="27" fillId="12" borderId="5" xfId="0" applyFont="1" applyFill="1" applyBorder="1" applyAlignment="1">
      <alignment vertical="center" wrapText="1"/>
    </xf>
    <xf numFmtId="0" fontId="27" fillId="12" borderId="1" xfId="0" applyFont="1" applyFill="1" applyBorder="1" applyAlignment="1">
      <alignment vertical="center" wrapText="1"/>
    </xf>
    <xf numFmtId="0" fontId="27" fillId="12" borderId="1" xfId="0" applyFont="1" applyFill="1" applyBorder="1" applyAlignment="1">
      <alignment horizontal="center" vertical="center" wrapText="1"/>
    </xf>
    <xf numFmtId="0" fontId="27" fillId="12" borderId="6" xfId="0" applyFont="1" applyFill="1" applyBorder="1" applyAlignment="1">
      <alignment horizontal="center" vertical="center" wrapText="1"/>
    </xf>
    <xf numFmtId="0" fontId="28" fillId="12" borderId="7" xfId="0" applyFont="1" applyFill="1" applyBorder="1"/>
    <xf numFmtId="49" fontId="28" fillId="12" borderId="7" xfId="0" applyNumberFormat="1" applyFont="1" applyFill="1" applyBorder="1"/>
    <xf numFmtId="0" fontId="28" fillId="12" borderId="8" xfId="0" applyFont="1" applyFill="1" applyBorder="1"/>
    <xf numFmtId="0" fontId="28" fillId="12" borderId="12" xfId="0" applyFont="1" applyFill="1" applyBorder="1"/>
    <xf numFmtId="0" fontId="28" fillId="12" borderId="9" xfId="0" applyFont="1" applyFill="1" applyBorder="1"/>
    <xf numFmtId="0" fontId="27" fillId="13" borderId="1" xfId="0" applyFont="1" applyFill="1" applyBorder="1"/>
    <xf numFmtId="0" fontId="27" fillId="13" borderId="2" xfId="0" applyFont="1" applyFill="1" applyBorder="1"/>
    <xf numFmtId="0" fontId="27" fillId="13" borderId="11" xfId="0" applyFont="1" applyFill="1" applyBorder="1"/>
    <xf numFmtId="0" fontId="27" fillId="13" borderId="10" xfId="0" applyFont="1" applyFill="1" applyBorder="1" applyAlignment="1">
      <alignment vertical="center" wrapText="1"/>
    </xf>
    <xf numFmtId="0" fontId="27" fillId="13" borderId="5" xfId="0" applyFont="1" applyFill="1" applyBorder="1" applyAlignment="1">
      <alignment vertical="center" wrapText="1"/>
    </xf>
    <xf numFmtId="0" fontId="27" fillId="13" borderId="1" xfId="0" applyFont="1" applyFill="1" applyBorder="1" applyAlignment="1">
      <alignment vertical="center" wrapText="1"/>
    </xf>
    <xf numFmtId="0" fontId="27" fillId="13" borderId="1" xfId="0" applyFont="1" applyFill="1" applyBorder="1" applyAlignment="1">
      <alignment horizontal="center" vertical="center" wrapText="1"/>
    </xf>
    <xf numFmtId="0" fontId="27" fillId="13" borderId="6" xfId="0" applyFont="1" applyFill="1" applyBorder="1" applyAlignment="1">
      <alignment horizontal="center" vertical="center" wrapText="1"/>
    </xf>
    <xf numFmtId="0" fontId="28" fillId="13" borderId="7" xfId="0" applyFont="1" applyFill="1" applyBorder="1"/>
    <xf numFmtId="0" fontId="28" fillId="13" borderId="8" xfId="0" applyFont="1" applyFill="1" applyBorder="1"/>
    <xf numFmtId="0" fontId="28" fillId="13" borderId="12" xfId="0" applyFont="1" applyFill="1" applyBorder="1"/>
    <xf numFmtId="0" fontId="28" fillId="13" borderId="9" xfId="0" applyFont="1" applyFill="1" applyBorder="1"/>
    <xf numFmtId="0" fontId="35" fillId="6" borderId="1" xfId="0" applyFont="1" applyFill="1" applyBorder="1"/>
    <xf numFmtId="0" fontId="35" fillId="6" borderId="2" xfId="0" applyFont="1" applyFill="1" applyBorder="1"/>
    <xf numFmtId="0" fontId="35" fillId="6" borderId="11" xfId="0" applyFont="1" applyFill="1" applyBorder="1"/>
    <xf numFmtId="0" fontId="35" fillId="6" borderId="10" xfId="0" applyFont="1" applyFill="1" applyBorder="1" applyAlignment="1">
      <alignment vertical="center" wrapText="1"/>
    </xf>
    <xf numFmtId="0" fontId="35" fillId="6" borderId="5" xfId="0" applyFont="1" applyFill="1" applyBorder="1" applyAlignment="1">
      <alignment vertical="center" wrapText="1"/>
    </xf>
    <xf numFmtId="0" fontId="35" fillId="6" borderId="1" xfId="0" applyFont="1" applyFill="1" applyBorder="1" applyAlignment="1">
      <alignment vertical="center" wrapText="1"/>
    </xf>
    <xf numFmtId="0" fontId="35" fillId="6" borderId="1" xfId="0" applyFont="1" applyFill="1" applyBorder="1" applyAlignment="1">
      <alignment horizontal="center" vertical="center" wrapText="1"/>
    </xf>
    <xf numFmtId="0" fontId="35" fillId="6" borderId="6" xfId="0" applyFont="1" applyFill="1" applyBorder="1" applyAlignment="1">
      <alignment horizontal="center" vertical="center" wrapText="1"/>
    </xf>
    <xf numFmtId="0" fontId="36" fillId="6" borderId="7" xfId="0" applyFont="1" applyFill="1" applyBorder="1"/>
    <xf numFmtId="49" fontId="36" fillId="6" borderId="7" xfId="0" applyNumberFormat="1" applyFont="1" applyFill="1" applyBorder="1"/>
    <xf numFmtId="0" fontId="36" fillId="6" borderId="8" xfId="0" applyFont="1" applyFill="1" applyBorder="1"/>
    <xf numFmtId="0" fontId="36" fillId="6" borderId="12" xfId="0" applyFont="1" applyFill="1" applyBorder="1"/>
    <xf numFmtId="0" fontId="36" fillId="6" borderId="9" xfId="0" applyFont="1" applyFill="1" applyBorder="1"/>
    <xf numFmtId="0" fontId="31" fillId="2" borderId="1" xfId="0" applyFont="1" applyFill="1" applyBorder="1"/>
    <xf numFmtId="0" fontId="31" fillId="2" borderId="2" xfId="0" applyFont="1" applyFill="1" applyBorder="1"/>
    <xf numFmtId="0" fontId="31" fillId="2" borderId="10" xfId="0" applyFont="1" applyFill="1" applyBorder="1" applyAlignment="1">
      <alignment vertical="center" wrapText="1"/>
    </xf>
    <xf numFmtId="0" fontId="31" fillId="2" borderId="5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/>
    <xf numFmtId="49" fontId="22" fillId="2" borderId="7" xfId="0" applyNumberFormat="1" applyFont="1" applyFill="1" applyBorder="1"/>
    <xf numFmtId="0" fontId="22" fillId="2" borderId="8" xfId="0" applyFont="1" applyFill="1" applyBorder="1"/>
    <xf numFmtId="0" fontId="27" fillId="11" borderId="1" xfId="0" applyFont="1" applyFill="1" applyBorder="1"/>
    <xf numFmtId="0" fontId="27" fillId="11" borderId="2" xfId="0" applyFont="1" applyFill="1" applyBorder="1"/>
    <xf numFmtId="0" fontId="27" fillId="11" borderId="11" xfId="0" applyFont="1" applyFill="1" applyBorder="1"/>
    <xf numFmtId="0" fontId="28" fillId="11" borderId="3" xfId="0" applyFont="1" applyFill="1" applyBorder="1"/>
    <xf numFmtId="0" fontId="27" fillId="11" borderId="10" xfId="0" applyFont="1" applyFill="1" applyBorder="1" applyAlignment="1">
      <alignment vertical="center" wrapText="1"/>
    </xf>
    <xf numFmtId="0" fontId="27" fillId="11" borderId="5" xfId="0" applyFont="1" applyFill="1" applyBorder="1" applyAlignment="1">
      <alignment vertical="center" wrapText="1"/>
    </xf>
    <xf numFmtId="0" fontId="27" fillId="11" borderId="1" xfId="0" applyFont="1" applyFill="1" applyBorder="1" applyAlignment="1">
      <alignment vertical="center" wrapText="1"/>
    </xf>
    <xf numFmtId="0" fontId="27" fillId="11" borderId="1" xfId="0" applyFont="1" applyFill="1" applyBorder="1" applyAlignment="1">
      <alignment horizontal="center" vertical="center" wrapText="1"/>
    </xf>
    <xf numFmtId="0" fontId="27" fillId="11" borderId="6" xfId="0" applyFont="1" applyFill="1" applyBorder="1" applyAlignment="1">
      <alignment horizontal="center" vertical="center" wrapText="1"/>
    </xf>
    <xf numFmtId="0" fontId="28" fillId="11" borderId="7" xfId="0" applyFont="1" applyFill="1" applyBorder="1"/>
    <xf numFmtId="49" fontId="28" fillId="11" borderId="7" xfId="0" applyNumberFormat="1" applyFont="1" applyFill="1" applyBorder="1"/>
    <xf numFmtId="0" fontId="28" fillId="11" borderId="8" xfId="0" applyFont="1" applyFill="1" applyBorder="1"/>
    <xf numFmtId="0" fontId="28" fillId="11" borderId="12" xfId="0" applyFont="1" applyFill="1" applyBorder="1"/>
    <xf numFmtId="0" fontId="28" fillId="11" borderId="9" xfId="0" applyFont="1" applyFill="1" applyBorder="1"/>
    <xf numFmtId="0" fontId="32" fillId="4" borderId="1" xfId="0" applyFont="1" applyFill="1" applyBorder="1"/>
    <xf numFmtId="0" fontId="32" fillId="4" borderId="2" xfId="0" applyFont="1" applyFill="1" applyBorder="1"/>
    <xf numFmtId="0" fontId="32" fillId="4" borderId="11" xfId="0" applyFont="1" applyFill="1" applyBorder="1"/>
    <xf numFmtId="0" fontId="32" fillId="4" borderId="10" xfId="0" applyFont="1" applyFill="1" applyBorder="1" applyAlignment="1">
      <alignment vertical="center" wrapText="1"/>
    </xf>
    <xf numFmtId="0" fontId="32" fillId="4" borderId="5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0" fontId="25" fillId="4" borderId="7" xfId="0" applyFont="1" applyFill="1" applyBorder="1"/>
    <xf numFmtId="49" fontId="25" fillId="4" borderId="7" xfId="0" applyNumberFormat="1" applyFont="1" applyFill="1" applyBorder="1"/>
    <xf numFmtId="0" fontId="25" fillId="4" borderId="8" xfId="0" applyFont="1" applyFill="1" applyBorder="1"/>
    <xf numFmtId="0" fontId="25" fillId="4" borderId="9" xfId="0" applyFont="1" applyFill="1" applyBorder="1"/>
    <xf numFmtId="0" fontId="23" fillId="13" borderId="1" xfId="0" applyFont="1" applyFill="1" applyBorder="1"/>
    <xf numFmtId="0" fontId="23" fillId="13" borderId="10" xfId="0" applyFont="1" applyFill="1" applyBorder="1" applyAlignment="1">
      <alignment vertical="center" wrapText="1"/>
    </xf>
    <xf numFmtId="0" fontId="23" fillId="13" borderId="5" xfId="0" applyFont="1" applyFill="1" applyBorder="1" applyAlignment="1">
      <alignment vertical="center" wrapText="1"/>
    </xf>
    <xf numFmtId="0" fontId="23" fillId="13" borderId="1" xfId="0" applyFont="1" applyFill="1" applyBorder="1" applyAlignment="1">
      <alignment vertical="center" wrapText="1"/>
    </xf>
    <xf numFmtId="0" fontId="23" fillId="13" borderId="1" xfId="0" applyFont="1" applyFill="1" applyBorder="1" applyAlignment="1">
      <alignment horizontal="center" vertical="center" wrapText="1"/>
    </xf>
    <xf numFmtId="0" fontId="23" fillId="13" borderId="6" xfId="0" applyFont="1" applyFill="1" applyBorder="1" applyAlignment="1">
      <alignment horizontal="center" vertical="center" wrapText="1"/>
    </xf>
    <xf numFmtId="0" fontId="24" fillId="13" borderId="7" xfId="0" applyFont="1" applyFill="1" applyBorder="1"/>
    <xf numFmtId="0" fontId="24" fillId="13" borderId="8" xfId="0" applyFont="1" applyFill="1" applyBorder="1"/>
    <xf numFmtId="0" fontId="24" fillId="13" borderId="9" xfId="0" applyFont="1" applyFill="1" applyBorder="1"/>
    <xf numFmtId="0" fontId="29" fillId="9" borderId="3" xfId="0" applyFont="1" applyFill="1" applyBorder="1" applyAlignment="1">
      <alignment horizontal="left" wrapText="1"/>
    </xf>
    <xf numFmtId="0" fontId="21" fillId="10" borderId="3" xfId="0" applyFont="1" applyFill="1" applyBorder="1" applyAlignment="1">
      <alignment horizontal="left" wrapText="1"/>
    </xf>
    <xf numFmtId="0" fontId="20" fillId="3" borderId="3" xfId="0" applyFont="1" applyFill="1" applyBorder="1" applyAlignment="1">
      <alignment horizontal="left" wrapText="1"/>
    </xf>
    <xf numFmtId="0" fontId="27" fillId="7" borderId="3" xfId="0" applyFont="1" applyFill="1" applyBorder="1" applyAlignment="1">
      <alignment horizontal="left" wrapText="1"/>
    </xf>
    <xf numFmtId="0" fontId="0" fillId="15" borderId="0" xfId="0" applyFill="1"/>
    <xf numFmtId="0" fontId="0" fillId="5" borderId="0" xfId="0" applyFill="1"/>
    <xf numFmtId="0" fontId="0" fillId="8" borderId="0" xfId="0" applyFill="1"/>
    <xf numFmtId="0" fontId="35" fillId="6" borderId="3" xfId="0" applyFont="1" applyFill="1" applyBorder="1" applyAlignment="1">
      <alignment horizontal="left" wrapText="1"/>
    </xf>
    <xf numFmtId="0" fontId="31" fillId="2" borderId="3" xfId="0" applyFont="1" applyFill="1" applyBorder="1" applyAlignment="1">
      <alignment horizontal="left" wrapText="1"/>
    </xf>
    <xf numFmtId="0" fontId="27" fillId="11" borderId="3" xfId="0" applyFont="1" applyFill="1" applyBorder="1" applyAlignment="1">
      <alignment horizontal="left" wrapText="1"/>
    </xf>
    <xf numFmtId="0" fontId="27" fillId="12" borderId="3" xfId="0" applyFont="1" applyFill="1" applyBorder="1" applyAlignment="1">
      <alignment horizontal="left" wrapText="1"/>
    </xf>
    <xf numFmtId="0" fontId="32" fillId="4" borderId="3" xfId="0" applyFont="1" applyFill="1" applyBorder="1" applyAlignment="1">
      <alignment horizontal="left" wrapText="1"/>
    </xf>
    <xf numFmtId="0" fontId="23" fillId="13" borderId="3" xfId="0" applyFont="1" applyFill="1" applyBorder="1" applyAlignment="1">
      <alignment horizontal="left" wrapText="1"/>
    </xf>
    <xf numFmtId="0" fontId="27" fillId="4" borderId="3" xfId="0" applyFont="1" applyFill="1" applyBorder="1" applyAlignment="1">
      <alignment horizontal="left" wrapText="1"/>
    </xf>
    <xf numFmtId="0" fontId="27" fillId="4" borderId="3" xfId="0" applyFont="1" applyFill="1" applyBorder="1"/>
    <xf numFmtId="0" fontId="32" fillId="4" borderId="3" xfId="0" applyFont="1" applyFill="1" applyBorder="1"/>
    <xf numFmtId="0" fontId="27" fillId="12" borderId="3" xfId="0" applyFont="1" applyFill="1" applyBorder="1"/>
    <xf numFmtId="0" fontId="35" fillId="6" borderId="3" xfId="0" applyFont="1" applyFill="1" applyBorder="1"/>
    <xf numFmtId="0" fontId="27" fillId="13" borderId="3" xfId="0" applyFont="1" applyFill="1" applyBorder="1"/>
    <xf numFmtId="0" fontId="27" fillId="7" borderId="3" xfId="0" applyFont="1" applyFill="1" applyBorder="1"/>
    <xf numFmtId="0" fontId="20" fillId="3" borderId="3" xfId="0" applyFont="1" applyFill="1" applyBorder="1"/>
    <xf numFmtId="0" fontId="21" fillId="10" borderId="3" xfId="0" applyFont="1" applyFill="1" applyBorder="1"/>
    <xf numFmtId="0" fontId="29" fillId="9" borderId="3" xfId="0" applyFont="1" applyFill="1" applyBorder="1"/>
    <xf numFmtId="0" fontId="26" fillId="9" borderId="1" xfId="0" applyFont="1" applyFill="1" applyBorder="1"/>
    <xf numFmtId="0" fontId="23" fillId="15" borderId="6" xfId="0" applyFont="1" applyFill="1" applyBorder="1" applyAlignment="1">
      <alignment vertical="center" wrapText="1"/>
    </xf>
    <xf numFmtId="0" fontId="23" fillId="15" borderId="6" xfId="0" applyFont="1" applyFill="1" applyBorder="1" applyAlignment="1">
      <alignment horizontal="center" vertical="center" wrapText="1"/>
    </xf>
    <xf numFmtId="0" fontId="24" fillId="15" borderId="7" xfId="0" applyFont="1" applyFill="1" applyBorder="1"/>
    <xf numFmtId="0" fontId="24" fillId="15" borderId="8" xfId="0" applyFont="1" applyFill="1" applyBorder="1"/>
    <xf numFmtId="0" fontId="24" fillId="15" borderId="1" xfId="0" applyFont="1" applyFill="1" applyBorder="1"/>
    <xf numFmtId="0" fontId="24" fillId="15" borderId="9" xfId="0" applyFont="1" applyFill="1" applyBorder="1"/>
    <xf numFmtId="0" fontId="23" fillId="15" borderId="1" xfId="0" applyFont="1" applyFill="1" applyBorder="1"/>
    <xf numFmtId="0" fontId="23" fillId="15" borderId="4" xfId="0" applyFont="1" applyFill="1" applyBorder="1"/>
    <xf numFmtId="0" fontId="24" fillId="15" borderId="4" xfId="0" applyFont="1" applyFill="1" applyBorder="1"/>
    <xf numFmtId="16" fontId="23" fillId="15" borderId="5" xfId="0" applyNumberFormat="1" applyFont="1" applyFill="1" applyBorder="1" applyAlignment="1">
      <alignment horizontal="left" vertical="center" wrapText="1"/>
    </xf>
    <xf numFmtId="16" fontId="23" fillId="5" borderId="5" xfId="0" applyNumberFormat="1" applyFont="1" applyFill="1" applyBorder="1" applyAlignment="1">
      <alignment horizontal="left" vertical="center" wrapText="1"/>
    </xf>
    <xf numFmtId="0" fontId="23" fillId="5" borderId="6" xfId="0" applyFont="1" applyFill="1" applyBorder="1" applyAlignment="1">
      <alignment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3" fillId="15" borderId="6" xfId="0" applyFont="1" applyFill="1" applyBorder="1" applyAlignment="1">
      <alignment horizontal="left" vertical="center" wrapText="1"/>
    </xf>
    <xf numFmtId="1" fontId="23" fillId="15" borderId="6" xfId="0" applyNumberFormat="1" applyFont="1" applyFill="1" applyBorder="1" applyAlignment="1">
      <alignment horizontal="center" vertical="center" wrapText="1"/>
    </xf>
    <xf numFmtId="0" fontId="24" fillId="15" borderId="2" xfId="0" applyFont="1" applyFill="1" applyBorder="1"/>
    <xf numFmtId="16" fontId="23" fillId="8" borderId="5" xfId="0" applyNumberFormat="1" applyFont="1" applyFill="1" applyBorder="1" applyAlignment="1">
      <alignment horizontal="left" vertical="center" wrapText="1"/>
    </xf>
    <xf numFmtId="0" fontId="23" fillId="8" borderId="6" xfId="0" applyFont="1" applyFill="1" applyBorder="1" applyAlignment="1">
      <alignment vertical="center" wrapText="1"/>
    </xf>
    <xf numFmtId="0" fontId="23" fillId="8" borderId="6" xfId="0" applyFont="1" applyFill="1" applyBorder="1" applyAlignment="1">
      <alignment horizontal="center" vertical="center" wrapText="1"/>
    </xf>
    <xf numFmtId="0" fontId="24" fillId="8" borderId="1" xfId="0" applyFont="1" applyFill="1" applyBorder="1"/>
    <xf numFmtId="0" fontId="24" fillId="8" borderId="3" xfId="0" applyFont="1" applyFill="1" applyBorder="1"/>
    <xf numFmtId="0" fontId="24" fillId="15" borderId="3" xfId="0" applyFont="1" applyFill="1" applyBorder="1"/>
    <xf numFmtId="0" fontId="0" fillId="9" borderId="0" xfId="0" applyFill="1"/>
    <xf numFmtId="0" fontId="0" fillId="3" borderId="1" xfId="0" applyFill="1" applyBorder="1"/>
    <xf numFmtId="0" fontId="24" fillId="5" borderId="7" xfId="0" applyFont="1" applyFill="1" applyBorder="1"/>
    <xf numFmtId="0" fontId="24" fillId="5" borderId="8" xfId="0" applyFont="1" applyFill="1" applyBorder="1"/>
    <xf numFmtId="0" fontId="24" fillId="5" borderId="9" xfId="0" applyFont="1" applyFill="1" applyBorder="1"/>
    <xf numFmtId="0" fontId="23" fillId="5" borderId="1" xfId="0" applyFont="1" applyFill="1" applyBorder="1"/>
    <xf numFmtId="0" fontId="23" fillId="5" borderId="4" xfId="0" applyFont="1" applyFill="1" applyBorder="1"/>
    <xf numFmtId="0" fontId="23" fillId="15" borderId="1" xfId="0" applyFont="1" applyFill="1" applyBorder="1" applyAlignment="1">
      <alignment vertical="center" wrapText="1"/>
    </xf>
    <xf numFmtId="0" fontId="24" fillId="8" borderId="7" xfId="0" applyFont="1" applyFill="1" applyBorder="1"/>
    <xf numFmtId="0" fontId="24" fillId="8" borderId="8" xfId="0" applyFont="1" applyFill="1" applyBorder="1"/>
    <xf numFmtId="0" fontId="24" fillId="8" borderId="9" xfId="0" applyFont="1" applyFill="1" applyBorder="1"/>
    <xf numFmtId="0" fontId="23" fillId="8" borderId="1" xfId="0" applyFont="1" applyFill="1" applyBorder="1"/>
    <xf numFmtId="0" fontId="23" fillId="8" borderId="4" xfId="0" applyFont="1" applyFill="1" applyBorder="1"/>
    <xf numFmtId="0" fontId="23" fillId="8" borderId="1" xfId="0" applyFont="1" applyFill="1" applyBorder="1" applyAlignment="1">
      <alignment vertical="center" wrapText="1"/>
    </xf>
    <xf numFmtId="0" fontId="23" fillId="15" borderId="5" xfId="0" applyFont="1" applyFill="1" applyBorder="1" applyAlignment="1">
      <alignment vertical="center" wrapText="1"/>
    </xf>
    <xf numFmtId="0" fontId="23" fillId="8" borderId="5" xfId="0" applyFont="1" applyFill="1" applyBorder="1" applyAlignment="1">
      <alignment vertical="center" wrapText="1"/>
    </xf>
    <xf numFmtId="0" fontId="25" fillId="4" borderId="1" xfId="0" applyFont="1" applyFill="1" applyBorder="1"/>
    <xf numFmtId="0" fontId="22" fillId="2" borderId="1" xfId="0" applyFont="1" applyFill="1" applyBorder="1"/>
    <xf numFmtId="0" fontId="24" fillId="13" borderId="1" xfId="0" applyFont="1" applyFill="1" applyBorder="1"/>
    <xf numFmtId="0" fontId="27" fillId="13" borderId="3" xfId="0" applyFont="1" applyFill="1" applyBorder="1" applyAlignment="1">
      <alignment horizontal="left" wrapText="1"/>
    </xf>
    <xf numFmtId="49" fontId="28" fillId="13" borderId="7" xfId="0" applyNumberFormat="1" applyFont="1" applyFill="1" applyBorder="1" applyAlignment="1">
      <alignment horizontal="center"/>
    </xf>
    <xf numFmtId="49" fontId="38" fillId="8" borderId="7" xfId="0" applyNumberFormat="1" applyFont="1" applyFill="1" applyBorder="1" applyAlignment="1">
      <alignment horizontal="center"/>
    </xf>
    <xf numFmtId="49" fontId="38" fillId="15" borderId="7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3" fillId="3" borderId="6" xfId="0" applyFont="1" applyFill="1" applyBorder="1" applyAlignment="1">
      <alignment horizontal="right" vertical="center" wrapText="1"/>
    </xf>
    <xf numFmtId="0" fontId="24" fillId="3" borderId="6" xfId="0" applyFont="1" applyFill="1" applyBorder="1" applyAlignment="1">
      <alignment horizontal="right" vertical="center" wrapText="1"/>
    </xf>
    <xf numFmtId="0" fontId="23" fillId="8" borderId="6" xfId="0" applyFont="1" applyFill="1" applyBorder="1" applyAlignment="1">
      <alignment horizontal="left" vertical="center" wrapText="1"/>
    </xf>
    <xf numFmtId="1" fontId="23" fillId="8" borderId="6" xfId="0" applyNumberFormat="1" applyFont="1" applyFill="1" applyBorder="1" applyAlignment="1">
      <alignment horizontal="center" vertical="center" wrapText="1"/>
    </xf>
    <xf numFmtId="0" fontId="24" fillId="8" borderId="2" xfId="0" applyFont="1" applyFill="1" applyBorder="1"/>
    <xf numFmtId="0" fontId="24" fillId="8" borderId="4" xfId="0" applyFont="1" applyFill="1" applyBorder="1"/>
    <xf numFmtId="1" fontId="23" fillId="3" borderId="0" xfId="0" applyNumberFormat="1" applyFont="1" applyFill="1" applyAlignment="1">
      <alignment horizontal="left" vertical="center" wrapText="1"/>
    </xf>
    <xf numFmtId="0" fontId="24" fillId="3" borderId="0" xfId="0" applyFont="1" applyFill="1" applyAlignment="1">
      <alignment vertical="center" wrapText="1"/>
    </xf>
    <xf numFmtId="0" fontId="24" fillId="3" borderId="0" xfId="0" applyFont="1" applyFill="1" applyAlignment="1">
      <alignment horizontal="right" vertical="center" wrapText="1"/>
    </xf>
    <xf numFmtId="0" fontId="27" fillId="4" borderId="6" xfId="0" applyFont="1" applyFill="1" applyBorder="1" applyAlignment="1">
      <alignment vertical="center" wrapText="1"/>
    </xf>
    <xf numFmtId="0" fontId="27" fillId="11" borderId="6" xfId="0" applyFont="1" applyFill="1" applyBorder="1" applyAlignment="1">
      <alignment vertical="center" wrapText="1"/>
    </xf>
    <xf numFmtId="0" fontId="27" fillId="7" borderId="6" xfId="0" applyFont="1" applyFill="1" applyBorder="1" applyAlignment="1">
      <alignment vertical="center" wrapText="1"/>
    </xf>
    <xf numFmtId="0" fontId="27" fillId="3" borderId="0" xfId="0" applyFont="1" applyFill="1" applyAlignment="1">
      <alignment vertical="center" wrapText="1"/>
    </xf>
    <xf numFmtId="0" fontId="20" fillId="19" borderId="1" xfId="0" applyFont="1" applyFill="1" applyBorder="1" applyAlignment="1">
      <alignment horizontal="right"/>
    </xf>
    <xf numFmtId="0" fontId="23" fillId="18" borderId="6" xfId="0" applyFont="1" applyFill="1" applyBorder="1" applyAlignment="1">
      <alignment vertical="center" wrapText="1"/>
    </xf>
    <xf numFmtId="0" fontId="23" fillId="18" borderId="1" xfId="0" applyFont="1" applyFill="1" applyBorder="1" applyAlignment="1">
      <alignment vertical="center" wrapText="1"/>
    </xf>
    <xf numFmtId="0" fontId="20" fillId="19" borderId="1" xfId="0" applyFont="1" applyFill="1" applyBorder="1"/>
    <xf numFmtId="0" fontId="20" fillId="17" borderId="5" xfId="0" applyFont="1" applyFill="1" applyBorder="1" applyAlignment="1">
      <alignment horizontal="right" vertical="center" wrapText="1"/>
    </xf>
    <xf numFmtId="0" fontId="23" fillId="17" borderId="5" xfId="0" applyFont="1" applyFill="1" applyBorder="1" applyAlignment="1">
      <alignment horizontal="right" vertical="center" wrapText="1"/>
    </xf>
    <xf numFmtId="0" fontId="23" fillId="17" borderId="5" xfId="0" applyFont="1" applyFill="1" applyBorder="1" applyAlignment="1">
      <alignment horizontal="left" vertical="center" wrapText="1"/>
    </xf>
    <xf numFmtId="0" fontId="20" fillId="17" borderId="5" xfId="0" applyFont="1" applyFill="1" applyBorder="1" applyAlignment="1">
      <alignment horizontal="left" vertical="center" wrapText="1"/>
    </xf>
    <xf numFmtId="0" fontId="23" fillId="18" borderId="6" xfId="0" applyFont="1" applyFill="1" applyBorder="1" applyAlignment="1">
      <alignment horizontal="right" vertical="center" wrapText="1"/>
    </xf>
    <xf numFmtId="0" fontId="23" fillId="18" borderId="1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left" vertical="center" wrapText="1"/>
    </xf>
    <xf numFmtId="0" fontId="0" fillId="0" borderId="9" xfId="0" applyBorder="1"/>
    <xf numFmtId="0" fontId="20" fillId="0" borderId="0" xfId="0" applyFont="1"/>
    <xf numFmtId="0" fontId="23" fillId="8" borderId="13" xfId="0" applyFont="1" applyFill="1" applyBorder="1"/>
    <xf numFmtId="0" fontId="23" fillId="15" borderId="13" xfId="0" applyFont="1" applyFill="1" applyBorder="1"/>
    <xf numFmtId="0" fontId="23" fillId="15" borderId="1" xfId="0" applyFont="1" applyFill="1" applyBorder="1" applyAlignment="1">
      <alignment horizontal="center"/>
    </xf>
    <xf numFmtId="0" fontId="21" fillId="5" borderId="3" xfId="0" applyFont="1" applyFill="1" applyBorder="1" applyAlignment="1">
      <alignment horizontal="left" wrapText="1"/>
    </xf>
    <xf numFmtId="0" fontId="21" fillId="5" borderId="1" xfId="0" applyFont="1" applyFill="1" applyBorder="1"/>
    <xf numFmtId="0" fontId="21" fillId="5" borderId="2" xfId="0" applyFont="1" applyFill="1" applyBorder="1"/>
    <xf numFmtId="0" fontId="21" fillId="5" borderId="11" xfId="0" applyFont="1" applyFill="1" applyBorder="1"/>
    <xf numFmtId="0" fontId="21" fillId="5" borderId="3" xfId="0" applyFont="1" applyFill="1" applyBorder="1"/>
    <xf numFmtId="0" fontId="21" fillId="5" borderId="10" xfId="0" applyFont="1" applyFill="1" applyBorder="1" applyAlignment="1">
      <alignment vertical="center" wrapText="1"/>
    </xf>
    <xf numFmtId="0" fontId="21" fillId="5" borderId="5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19" fillId="5" borderId="7" xfId="0" applyFont="1" applyFill="1" applyBorder="1"/>
    <xf numFmtId="49" fontId="19" fillId="5" borderId="7" xfId="0" applyNumberFormat="1" applyFont="1" applyFill="1" applyBorder="1"/>
    <xf numFmtId="0" fontId="19" fillId="5" borderId="12" xfId="0" applyFont="1" applyFill="1" applyBorder="1"/>
    <xf numFmtId="0" fontId="19" fillId="5" borderId="9" xfId="0" applyFont="1" applyFill="1" applyBorder="1"/>
    <xf numFmtId="0" fontId="33" fillId="14" borderId="3" xfId="0" applyFont="1" applyFill="1" applyBorder="1" applyAlignment="1">
      <alignment horizontal="left" wrapText="1"/>
    </xf>
    <xf numFmtId="0" fontId="33" fillId="14" borderId="1" xfId="0" applyFont="1" applyFill="1" applyBorder="1"/>
    <xf numFmtId="0" fontId="33" fillId="14" borderId="2" xfId="0" applyFont="1" applyFill="1" applyBorder="1"/>
    <xf numFmtId="0" fontId="33" fillId="14" borderId="11" xfId="0" applyFont="1" applyFill="1" applyBorder="1"/>
    <xf numFmtId="0" fontId="34" fillId="14" borderId="3" xfId="0" applyFont="1" applyFill="1" applyBorder="1"/>
    <xf numFmtId="0" fontId="33" fillId="14" borderId="10" xfId="0" applyFont="1" applyFill="1" applyBorder="1" applyAlignment="1">
      <alignment vertical="center" wrapText="1"/>
    </xf>
    <xf numFmtId="0" fontId="33" fillId="14" borderId="5" xfId="0" applyFont="1" applyFill="1" applyBorder="1" applyAlignment="1">
      <alignment vertical="center" wrapText="1"/>
    </xf>
    <xf numFmtId="0" fontId="33" fillId="14" borderId="1" xfId="0" applyFont="1" applyFill="1" applyBorder="1" applyAlignment="1">
      <alignment vertical="center" wrapText="1"/>
    </xf>
    <xf numFmtId="0" fontId="33" fillId="14" borderId="1" xfId="0" applyFont="1" applyFill="1" applyBorder="1" applyAlignment="1">
      <alignment horizontal="center" vertical="center" wrapText="1"/>
    </xf>
    <xf numFmtId="0" fontId="33" fillId="14" borderId="6" xfId="0" applyFont="1" applyFill="1" applyBorder="1" applyAlignment="1">
      <alignment horizontal="center" vertical="center" wrapText="1"/>
    </xf>
    <xf numFmtId="0" fontId="34" fillId="14" borderId="7" xfId="0" applyFont="1" applyFill="1" applyBorder="1"/>
    <xf numFmtId="49" fontId="34" fillId="14" borderId="7" xfId="0" applyNumberFormat="1" applyFont="1" applyFill="1" applyBorder="1"/>
    <xf numFmtId="0" fontId="34" fillId="14" borderId="8" xfId="0" applyFont="1" applyFill="1" applyBorder="1"/>
    <xf numFmtId="0" fontId="34" fillId="14" borderId="12" xfId="0" applyFont="1" applyFill="1" applyBorder="1"/>
    <xf numFmtId="0" fontId="34" fillId="14" borderId="9" xfId="0" applyFont="1" applyFill="1" applyBorder="1"/>
    <xf numFmtId="0" fontId="25" fillId="8" borderId="7" xfId="0" applyFont="1" applyFill="1" applyBorder="1"/>
    <xf numFmtId="0" fontId="25" fillId="8" borderId="8" xfId="0" applyFont="1" applyFill="1" applyBorder="1"/>
    <xf numFmtId="0" fontId="25" fillId="8" borderId="1" xfId="0" applyFont="1" applyFill="1" applyBorder="1"/>
    <xf numFmtId="0" fontId="25" fillId="8" borderId="9" xfId="0" applyFont="1" applyFill="1" applyBorder="1"/>
    <xf numFmtId="0" fontId="25" fillId="15" borderId="7" xfId="0" applyFont="1" applyFill="1" applyBorder="1"/>
    <xf numFmtId="0" fontId="25" fillId="15" borderId="1" xfId="0" applyFont="1" applyFill="1" applyBorder="1"/>
    <xf numFmtId="0" fontId="25" fillId="15" borderId="9" xfId="0" applyFont="1" applyFill="1" applyBorder="1"/>
    <xf numFmtId="0" fontId="40" fillId="20" borderId="0" xfId="0" applyFont="1" applyFill="1"/>
    <xf numFmtId="0" fontId="41" fillId="20" borderId="0" xfId="0" applyFont="1" applyFill="1" applyAlignment="1">
      <alignment vertical="center"/>
    </xf>
    <xf numFmtId="0" fontId="42" fillId="20" borderId="0" xfId="0" applyFont="1" applyFill="1" applyAlignment="1">
      <alignment vertical="center"/>
    </xf>
    <xf numFmtId="14" fontId="41" fillId="20" borderId="0" xfId="0" applyNumberFormat="1" applyFont="1" applyFill="1" applyAlignment="1">
      <alignment vertical="center"/>
    </xf>
    <xf numFmtId="0" fontId="41" fillId="20" borderId="0" xfId="0" applyFont="1" applyFill="1" applyAlignment="1">
      <alignment horizontal="center" vertical="center"/>
    </xf>
    <xf numFmtId="0" fontId="41" fillId="20" borderId="0" xfId="0" applyFont="1" applyFill="1" applyAlignment="1">
      <alignment horizontal="right" vertical="center"/>
    </xf>
    <xf numFmtId="2" fontId="41" fillId="20" borderId="0" xfId="0" applyNumberFormat="1" applyFont="1" applyFill="1" applyAlignment="1">
      <alignment horizontal="center" vertical="center"/>
    </xf>
    <xf numFmtId="0" fontId="42" fillId="3" borderId="0" xfId="0" applyFont="1" applyFill="1" applyAlignment="1">
      <alignment vertical="center"/>
    </xf>
    <xf numFmtId="0" fontId="21" fillId="11" borderId="3" xfId="0" applyFont="1" applyFill="1" applyBorder="1" applyAlignment="1">
      <alignment horizontal="left" wrapText="1"/>
    </xf>
    <xf numFmtId="0" fontId="21" fillId="11" borderId="1" xfId="0" applyFont="1" applyFill="1" applyBorder="1"/>
    <xf numFmtId="0" fontId="21" fillId="11" borderId="2" xfId="0" applyFont="1" applyFill="1" applyBorder="1"/>
    <xf numFmtId="0" fontId="21" fillId="11" borderId="11" xfId="0" applyFont="1" applyFill="1" applyBorder="1"/>
    <xf numFmtId="0" fontId="21" fillId="11" borderId="3" xfId="0" applyFont="1" applyFill="1" applyBorder="1"/>
    <xf numFmtId="0" fontId="21" fillId="11" borderId="10" xfId="0" applyFont="1" applyFill="1" applyBorder="1" applyAlignment="1">
      <alignment vertical="center" wrapText="1"/>
    </xf>
    <xf numFmtId="0" fontId="21" fillId="11" borderId="5" xfId="0" applyFont="1" applyFill="1" applyBorder="1" applyAlignment="1">
      <alignment vertical="center" wrapText="1"/>
    </xf>
    <xf numFmtId="0" fontId="21" fillId="11" borderId="1" xfId="0" applyFont="1" applyFill="1" applyBorder="1" applyAlignment="1">
      <alignment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21" fillId="11" borderId="6" xfId="0" applyFont="1" applyFill="1" applyBorder="1" applyAlignment="1">
      <alignment horizontal="center" vertical="center" wrapText="1"/>
    </xf>
    <xf numFmtId="0" fontId="19" fillId="11" borderId="7" xfId="0" applyFont="1" applyFill="1" applyBorder="1"/>
    <xf numFmtId="49" fontId="19" fillId="11" borderId="7" xfId="0" applyNumberFormat="1" applyFont="1" applyFill="1" applyBorder="1"/>
    <xf numFmtId="0" fontId="19" fillId="11" borderId="8" xfId="0" applyFont="1" applyFill="1" applyBorder="1"/>
    <xf numFmtId="0" fontId="19" fillId="11" borderId="12" xfId="0" applyFont="1" applyFill="1" applyBorder="1"/>
    <xf numFmtId="0" fontId="19" fillId="11" borderId="9" xfId="0" applyFont="1" applyFill="1" applyBorder="1"/>
    <xf numFmtId="49" fontId="44" fillId="8" borderId="7" xfId="0" applyNumberFormat="1" applyFont="1" applyFill="1" applyBorder="1" applyAlignment="1">
      <alignment horizontal="center"/>
    </xf>
    <xf numFmtId="0" fontId="40" fillId="3" borderId="0" xfId="0" applyFont="1" applyFill="1"/>
    <xf numFmtId="0" fontId="41" fillId="3" borderId="0" xfId="0" applyFont="1" applyFill="1" applyAlignment="1">
      <alignment horizontal="center" vertical="center"/>
    </xf>
    <xf numFmtId="0" fontId="41" fillId="3" borderId="0" xfId="0" applyFont="1" applyFill="1" applyAlignment="1">
      <alignment vertical="center"/>
    </xf>
    <xf numFmtId="0" fontId="41" fillId="3" borderId="0" xfId="0" applyFont="1" applyFill="1" applyAlignment="1">
      <alignment horizontal="right" vertical="center"/>
    </xf>
    <xf numFmtId="0" fontId="41" fillId="2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8" borderId="7" xfId="0" applyFont="1" applyFill="1" applyBorder="1" applyAlignment="1">
      <alignment horizontal="center"/>
    </xf>
    <xf numFmtId="0" fontId="20" fillId="8" borderId="5" xfId="0" applyFont="1" applyFill="1" applyBorder="1" applyAlignment="1">
      <alignment horizontal="center"/>
    </xf>
    <xf numFmtId="0" fontId="20" fillId="8" borderId="11" xfId="0" applyFont="1" applyFill="1" applyBorder="1" applyAlignment="1">
      <alignment horizontal="center"/>
    </xf>
    <xf numFmtId="0" fontId="20" fillId="8" borderId="14" xfId="0" applyFont="1" applyFill="1" applyBorder="1" applyAlignment="1">
      <alignment horizontal="center"/>
    </xf>
    <xf numFmtId="0" fontId="20" fillId="8" borderId="15" xfId="0" applyFont="1" applyFill="1" applyBorder="1" applyAlignment="1">
      <alignment horizontal="center"/>
    </xf>
    <xf numFmtId="0" fontId="20" fillId="8" borderId="6" xfId="0" applyFont="1" applyFill="1" applyBorder="1" applyAlignment="1">
      <alignment horizontal="center"/>
    </xf>
    <xf numFmtId="0" fontId="20" fillId="8" borderId="16" xfId="0" applyFont="1" applyFill="1" applyBorder="1" applyAlignment="1">
      <alignment horizontal="center"/>
    </xf>
    <xf numFmtId="0" fontId="0" fillId="0" borderId="17" xfId="0" applyBorder="1"/>
    <xf numFmtId="1" fontId="0" fillId="0" borderId="13" xfId="0" applyNumberFormat="1" applyBorder="1"/>
    <xf numFmtId="2" fontId="0" fillId="0" borderId="17" xfId="0" applyNumberFormat="1" applyBorder="1"/>
    <xf numFmtId="2" fontId="0" fillId="0" borderId="13" xfId="0" applyNumberFormat="1" applyBorder="1"/>
    <xf numFmtId="0" fontId="20" fillId="0" borderId="11" xfId="0" applyFont="1" applyBorder="1"/>
    <xf numFmtId="0" fontId="20" fillId="0" borderId="4" xfId="0" applyFont="1" applyBorder="1"/>
    <xf numFmtId="0" fontId="20" fillId="0" borderId="14" xfId="0" applyFont="1" applyBorder="1"/>
    <xf numFmtId="2" fontId="0" fillId="0" borderId="11" xfId="0" applyNumberFormat="1" applyBorder="1"/>
    <xf numFmtId="2" fontId="0" fillId="0" borderId="4" xfId="0" applyNumberFormat="1" applyBorder="1"/>
    <xf numFmtId="0" fontId="20" fillId="5" borderId="1" xfId="0" applyFont="1" applyFill="1" applyBorder="1"/>
    <xf numFmtId="2" fontId="0" fillId="0" borderId="18" xfId="0" applyNumberFormat="1" applyBorder="1"/>
    <xf numFmtId="2" fontId="0" fillId="0" borderId="19" xfId="0" applyNumberFormat="1" applyBorder="1"/>
    <xf numFmtId="0" fontId="32" fillId="14" borderId="6" xfId="0" applyFont="1" applyFill="1" applyBorder="1" applyAlignment="1">
      <alignment vertical="center" wrapText="1"/>
    </xf>
    <xf numFmtId="0" fontId="32" fillId="14" borderId="5" xfId="0" applyFont="1" applyFill="1" applyBorder="1" applyAlignment="1">
      <alignment vertical="center" wrapText="1"/>
    </xf>
    <xf numFmtId="0" fontId="21" fillId="11" borderId="6" xfId="0" applyFont="1" applyFill="1" applyBorder="1" applyAlignment="1">
      <alignment vertical="center" wrapText="1"/>
    </xf>
    <xf numFmtId="0" fontId="45" fillId="3" borderId="6" xfId="0" applyFont="1" applyFill="1" applyBorder="1" applyAlignment="1">
      <alignment vertical="center" wrapText="1"/>
    </xf>
    <xf numFmtId="0" fontId="45" fillId="3" borderId="5" xfId="0" applyFont="1" applyFill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4" xfId="0" applyFont="1" applyBorder="1" applyAlignment="1">
      <alignment horizontal="center" vertical="center" wrapText="1"/>
    </xf>
    <xf numFmtId="0" fontId="20" fillId="21" borderId="5" xfId="0" applyFont="1" applyFill="1" applyBorder="1" applyAlignment="1">
      <alignment vertical="center" wrapText="1"/>
    </xf>
    <xf numFmtId="49" fontId="44" fillId="15" borderId="7" xfId="0" applyNumberFormat="1" applyFont="1" applyFill="1" applyBorder="1" applyAlignment="1">
      <alignment horizontal="center"/>
    </xf>
    <xf numFmtId="0" fontId="24" fillId="16" borderId="7" xfId="0" applyFont="1" applyFill="1" applyBorder="1"/>
    <xf numFmtId="49" fontId="38" fillId="16" borderId="7" xfId="0" applyNumberFormat="1" applyFont="1" applyFill="1" applyBorder="1" applyAlignment="1">
      <alignment horizontal="center"/>
    </xf>
    <xf numFmtId="0" fontId="24" fillId="16" borderId="8" xfId="0" applyFont="1" applyFill="1" applyBorder="1"/>
    <xf numFmtId="0" fontId="24" fillId="16" borderId="1" xfId="0" applyFont="1" applyFill="1" applyBorder="1"/>
    <xf numFmtId="0" fontId="24" fillId="16" borderId="9" xfId="0" applyFont="1" applyFill="1" applyBorder="1"/>
    <xf numFmtId="0" fontId="45" fillId="3" borderId="1" xfId="0" applyFont="1" applyFill="1" applyBorder="1" applyAlignment="1">
      <alignment vertical="center" wrapText="1"/>
    </xf>
    <xf numFmtId="0" fontId="32" fillId="14" borderId="1" xfId="0" applyFont="1" applyFill="1" applyBorder="1" applyAlignment="1">
      <alignment vertical="center" wrapText="1"/>
    </xf>
    <xf numFmtId="0" fontId="20" fillId="5" borderId="1" xfId="0" applyFont="1" applyFill="1" applyBorder="1" applyAlignment="1">
      <alignment vertical="center" wrapText="1"/>
    </xf>
    <xf numFmtId="0" fontId="41" fillId="3" borderId="0" xfId="0" applyFont="1" applyFill="1" applyAlignment="1">
      <alignment horizontal="left" vertical="center"/>
    </xf>
    <xf numFmtId="49" fontId="38" fillId="5" borderId="7" xfId="0" applyNumberFormat="1" applyFont="1" applyFill="1" applyBorder="1" applyAlignment="1">
      <alignment horizontal="center"/>
    </xf>
    <xf numFmtId="16" fontId="23" fillId="15" borderId="1" xfId="0" applyNumberFormat="1" applyFont="1" applyFill="1" applyBorder="1" applyAlignment="1">
      <alignment horizontal="left" vertical="center" wrapText="1"/>
    </xf>
    <xf numFmtId="16" fontId="23" fillId="8" borderId="10" xfId="0" applyNumberFormat="1" applyFont="1" applyFill="1" applyBorder="1" applyAlignment="1">
      <alignment horizontal="left" vertical="center" wrapText="1"/>
    </xf>
    <xf numFmtId="16" fontId="23" fillId="15" borderId="10" xfId="0" applyNumberFormat="1" applyFont="1" applyFill="1" applyBorder="1" applyAlignment="1">
      <alignment horizontal="left" vertical="center" wrapText="1"/>
    </xf>
    <xf numFmtId="0" fontId="20" fillId="15" borderId="1" xfId="0" applyFont="1" applyFill="1" applyBorder="1"/>
    <xf numFmtId="49" fontId="44" fillId="5" borderId="7" xfId="0" applyNumberFormat="1" applyFont="1" applyFill="1" applyBorder="1" applyAlignment="1">
      <alignment horizontal="center"/>
    </xf>
    <xf numFmtId="0" fontId="23" fillId="8" borderId="1" xfId="0" applyFont="1" applyFill="1" applyBorder="1" applyAlignment="1">
      <alignment horizontal="center"/>
    </xf>
    <xf numFmtId="49" fontId="44" fillId="8" borderId="1" xfId="0" applyNumberFormat="1" applyFont="1" applyFill="1" applyBorder="1" applyAlignment="1">
      <alignment horizontal="center"/>
    </xf>
    <xf numFmtId="49" fontId="38" fillId="8" borderId="1" xfId="0" applyNumberFormat="1" applyFont="1" applyFill="1" applyBorder="1" applyAlignment="1">
      <alignment horizontal="center"/>
    </xf>
    <xf numFmtId="49" fontId="46" fillId="8" borderId="7" xfId="0" applyNumberFormat="1" applyFont="1" applyFill="1" applyBorder="1" applyAlignment="1">
      <alignment horizontal="center"/>
    </xf>
    <xf numFmtId="15" fontId="0" fillId="0" borderId="0" xfId="0" applyNumberFormat="1"/>
    <xf numFmtId="0" fontId="47" fillId="11" borderId="3" xfId="0" applyFont="1" applyFill="1" applyBorder="1" applyAlignment="1">
      <alignment horizontal="left" wrapText="1"/>
    </xf>
    <xf numFmtId="0" fontId="47" fillId="11" borderId="1" xfId="0" applyFont="1" applyFill="1" applyBorder="1"/>
    <xf numFmtId="0" fontId="47" fillId="11" borderId="2" xfId="0" applyFont="1" applyFill="1" applyBorder="1"/>
    <xf numFmtId="0" fontId="47" fillId="11" borderId="11" xfId="0" applyFont="1" applyFill="1" applyBorder="1"/>
    <xf numFmtId="0" fontId="47" fillId="11" borderId="3" xfId="0" applyFont="1" applyFill="1" applyBorder="1"/>
    <xf numFmtId="0" fontId="47" fillId="11" borderId="10" xfId="0" applyFont="1" applyFill="1" applyBorder="1" applyAlignment="1">
      <alignment vertical="center" wrapText="1"/>
    </xf>
    <xf numFmtId="0" fontId="47" fillId="11" borderId="5" xfId="0" applyFont="1" applyFill="1" applyBorder="1" applyAlignment="1">
      <alignment vertical="center" wrapText="1"/>
    </xf>
    <xf numFmtId="0" fontId="47" fillId="11" borderId="1" xfId="0" applyFont="1" applyFill="1" applyBorder="1" applyAlignment="1">
      <alignment vertical="center" wrapText="1"/>
    </xf>
    <xf numFmtId="0" fontId="47" fillId="11" borderId="1" xfId="0" applyFont="1" applyFill="1" applyBorder="1" applyAlignment="1">
      <alignment horizontal="center" vertical="center" wrapText="1"/>
    </xf>
    <xf numFmtId="0" fontId="47" fillId="11" borderId="6" xfId="0" applyFont="1" applyFill="1" applyBorder="1" applyAlignment="1">
      <alignment horizontal="center" vertical="center" wrapText="1"/>
    </xf>
    <xf numFmtId="0" fontId="48" fillId="11" borderId="7" xfId="0" applyFont="1" applyFill="1" applyBorder="1"/>
    <xf numFmtId="49" fontId="48" fillId="11" borderId="7" xfId="0" applyNumberFormat="1" applyFont="1" applyFill="1" applyBorder="1"/>
    <xf numFmtId="0" fontId="48" fillId="11" borderId="8" xfId="0" applyFont="1" applyFill="1" applyBorder="1"/>
    <xf numFmtId="0" fontId="48" fillId="11" borderId="1" xfId="0" applyFont="1" applyFill="1" applyBorder="1"/>
    <xf numFmtId="0" fontId="48" fillId="11" borderId="9" xfId="0" applyFont="1" applyFill="1" applyBorder="1"/>
    <xf numFmtId="49" fontId="38" fillId="15" borderId="1" xfId="0" applyNumberFormat="1" applyFont="1" applyFill="1" applyBorder="1" applyAlignment="1">
      <alignment horizontal="center"/>
    </xf>
    <xf numFmtId="0" fontId="49" fillId="3" borderId="0" xfId="0" applyFont="1" applyFill="1"/>
    <xf numFmtId="0" fontId="49" fillId="6" borderId="1" xfId="0" applyFont="1" applyFill="1" applyBorder="1" applyAlignment="1">
      <alignment horizontal="center" vertical="center" wrapText="1"/>
    </xf>
    <xf numFmtId="0" fontId="49" fillId="24" borderId="1" xfId="0" applyFont="1" applyFill="1" applyBorder="1" applyAlignment="1">
      <alignment horizontal="center" vertical="center" wrapText="1"/>
    </xf>
    <xf numFmtId="0" fontId="49" fillId="22" borderId="1" xfId="0" applyFont="1" applyFill="1" applyBorder="1" applyAlignment="1">
      <alignment horizontal="center" vertical="center" wrapText="1"/>
    </xf>
    <xf numFmtId="16" fontId="23" fillId="3" borderId="0" xfId="0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50" fillId="23" borderId="4" xfId="0" applyFont="1" applyFill="1" applyBorder="1" applyAlignment="1">
      <alignment horizontal="center" vertical="center" wrapText="1"/>
    </xf>
    <xf numFmtId="0" fontId="51" fillId="0" borderId="0" xfId="0" applyFont="1"/>
    <xf numFmtId="0" fontId="50" fillId="3" borderId="0" xfId="0" applyFont="1" applyFill="1"/>
    <xf numFmtId="0" fontId="50" fillId="6" borderId="4" xfId="0" applyFont="1" applyFill="1" applyBorder="1" applyAlignment="1">
      <alignment horizontal="center" vertical="center" wrapText="1"/>
    </xf>
    <xf numFmtId="0" fontId="50" fillId="24" borderId="4" xfId="0" applyFont="1" applyFill="1" applyBorder="1" applyAlignment="1">
      <alignment horizontal="center" vertical="center" wrapText="1"/>
    </xf>
    <xf numFmtId="0" fontId="50" fillId="22" borderId="4" xfId="0" applyFont="1" applyFill="1" applyBorder="1" applyAlignment="1">
      <alignment horizontal="center" vertical="center" wrapText="1"/>
    </xf>
    <xf numFmtId="0" fontId="53" fillId="0" borderId="0" xfId="0" applyFont="1"/>
    <xf numFmtId="0" fontId="52" fillId="3" borderId="0" xfId="0" applyFont="1" applyFill="1"/>
    <xf numFmtId="0" fontId="52" fillId="6" borderId="4" xfId="0" applyFont="1" applyFill="1" applyBorder="1" applyAlignment="1">
      <alignment horizontal="center" vertical="center" wrapText="1"/>
    </xf>
    <xf numFmtId="0" fontId="52" fillId="24" borderId="4" xfId="0" applyFont="1" applyFill="1" applyBorder="1" applyAlignment="1">
      <alignment horizontal="center" vertical="center" wrapText="1"/>
    </xf>
    <xf numFmtId="0" fontId="52" fillId="22" borderId="4" xfId="0" applyFont="1" applyFill="1" applyBorder="1" applyAlignment="1">
      <alignment horizontal="center" vertical="center" wrapText="1"/>
    </xf>
    <xf numFmtId="0" fontId="45" fillId="23" borderId="4" xfId="0" applyFont="1" applyFill="1" applyBorder="1" applyAlignment="1">
      <alignment horizontal="center" vertical="center" wrapText="1"/>
    </xf>
    <xf numFmtId="0" fontId="54" fillId="0" borderId="0" xfId="0" applyFont="1"/>
    <xf numFmtId="0" fontId="45" fillId="3" borderId="0" xfId="0" applyFont="1" applyFill="1"/>
    <xf numFmtId="0" fontId="45" fillId="6" borderId="4" xfId="0" applyFont="1" applyFill="1" applyBorder="1" applyAlignment="1">
      <alignment horizontal="center" vertical="center" wrapText="1"/>
    </xf>
    <xf numFmtId="0" fontId="45" fillId="24" borderId="4" xfId="0" applyFont="1" applyFill="1" applyBorder="1" applyAlignment="1">
      <alignment horizontal="center" vertical="center" wrapText="1"/>
    </xf>
    <xf numFmtId="0" fontId="45" fillId="22" borderId="4" xfId="0" applyFont="1" applyFill="1" applyBorder="1" applyAlignment="1">
      <alignment horizontal="center" vertical="center" wrapText="1"/>
    </xf>
    <xf numFmtId="0" fontId="50" fillId="23" borderId="1" xfId="0" applyFont="1" applyFill="1" applyBorder="1"/>
    <xf numFmtId="0" fontId="45" fillId="23" borderId="1" xfId="0" applyFont="1" applyFill="1" applyBorder="1"/>
    <xf numFmtId="49" fontId="55" fillId="8" borderId="7" xfId="0" applyNumberFormat="1" applyFont="1" applyFill="1" applyBorder="1" applyAlignment="1">
      <alignment horizontal="center"/>
    </xf>
    <xf numFmtId="49" fontId="55" fillId="15" borderId="7" xfId="0" applyNumberFormat="1" applyFont="1" applyFill="1" applyBorder="1" applyAlignment="1">
      <alignment horizontal="center"/>
    </xf>
    <xf numFmtId="0" fontId="57" fillId="0" borderId="0" xfId="0" applyFont="1"/>
    <xf numFmtId="0" fontId="56" fillId="3" borderId="0" xfId="0" applyFont="1" applyFill="1"/>
    <xf numFmtId="0" fontId="56" fillId="6" borderId="4" xfId="0" applyFont="1" applyFill="1" applyBorder="1" applyAlignment="1">
      <alignment horizontal="center" vertical="center" wrapText="1"/>
    </xf>
    <xf numFmtId="0" fontId="56" fillId="24" borderId="4" xfId="0" applyFont="1" applyFill="1" applyBorder="1" applyAlignment="1">
      <alignment horizontal="center" vertical="center" wrapText="1"/>
    </xf>
    <xf numFmtId="0" fontId="56" fillId="22" borderId="4" xfId="0" applyFont="1" applyFill="1" applyBorder="1" applyAlignment="1">
      <alignment horizontal="center" vertical="center" wrapText="1"/>
    </xf>
    <xf numFmtId="49" fontId="44" fillId="15" borderId="1" xfId="0" applyNumberFormat="1" applyFont="1" applyFill="1" applyBorder="1" applyAlignment="1">
      <alignment horizontal="center"/>
    </xf>
    <xf numFmtId="16" fontId="23" fillId="8" borderId="1" xfId="0" applyNumberFormat="1" applyFont="1" applyFill="1" applyBorder="1" applyAlignment="1">
      <alignment horizontal="left" vertical="center" wrapText="1"/>
    </xf>
    <xf numFmtId="49" fontId="24" fillId="13" borderId="7" xfId="0" applyNumberFormat="1" applyFont="1" applyFill="1" applyBorder="1" applyAlignment="1">
      <alignment horizontal="center"/>
    </xf>
    <xf numFmtId="0" fontId="59" fillId="5" borderId="8" xfId="0" applyFont="1" applyFill="1" applyBorder="1"/>
    <xf numFmtId="49" fontId="58" fillId="8" borderId="7" xfId="0" applyNumberFormat="1" applyFont="1" applyFill="1" applyBorder="1" applyAlignment="1">
      <alignment horizontal="center"/>
    </xf>
    <xf numFmtId="0" fontId="60" fillId="0" borderId="0" xfId="0" applyFont="1"/>
    <xf numFmtId="0" fontId="23" fillId="5" borderId="6" xfId="0" applyFont="1" applyFill="1" applyBorder="1" applyAlignment="1">
      <alignment horizontal="left" vertical="center" wrapText="1"/>
    </xf>
    <xf numFmtId="1" fontId="23" fillId="5" borderId="6" xfId="0" applyNumberFormat="1" applyFont="1" applyFill="1" applyBorder="1" applyAlignment="1">
      <alignment horizontal="center" vertical="center" wrapText="1"/>
    </xf>
    <xf numFmtId="0" fontId="24" fillId="5" borderId="3" xfId="0" applyFont="1" applyFill="1" applyBorder="1"/>
    <xf numFmtId="0" fontId="24" fillId="5" borderId="4" xfId="0" applyFont="1" applyFill="1" applyBorder="1"/>
    <xf numFmtId="49" fontId="58" fillId="15" borderId="7" xfId="0" applyNumberFormat="1" applyFont="1" applyFill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/>
    </xf>
    <xf numFmtId="49" fontId="41" fillId="20" borderId="0" xfId="0" applyNumberFormat="1" applyFont="1" applyFill="1" applyAlignment="1">
      <alignment vertical="center"/>
    </xf>
    <xf numFmtId="49" fontId="0" fillId="0" borderId="0" xfId="0" applyNumberFormat="1"/>
    <xf numFmtId="49" fontId="41" fillId="3" borderId="0" xfId="0" applyNumberFormat="1" applyFont="1" applyFill="1" applyAlignment="1">
      <alignment vertical="center"/>
    </xf>
    <xf numFmtId="0" fontId="23" fillId="5" borderId="5" xfId="0" applyFont="1" applyFill="1" applyBorder="1" applyAlignment="1">
      <alignment vertical="center" wrapText="1"/>
    </xf>
    <xf numFmtId="0" fontId="37" fillId="6" borderId="1" xfId="0" applyFont="1" applyFill="1" applyBorder="1" applyAlignment="1">
      <alignment horizontal="right"/>
    </xf>
    <xf numFmtId="0" fontId="27" fillId="12" borderId="1" xfId="0" applyFont="1" applyFill="1" applyBorder="1" applyAlignment="1">
      <alignment horizontal="right"/>
    </xf>
    <xf numFmtId="0" fontId="27" fillId="13" borderId="1" xfId="0" applyFont="1" applyFill="1" applyBorder="1" applyAlignment="1">
      <alignment horizontal="right"/>
    </xf>
    <xf numFmtId="0" fontId="29" fillId="9" borderId="1" xfId="0" applyFont="1" applyFill="1" applyBorder="1" applyAlignment="1">
      <alignment horizontal="right"/>
    </xf>
    <xf numFmtId="49" fontId="44" fillId="5" borderId="1" xfId="0" applyNumberFormat="1" applyFont="1" applyFill="1" applyBorder="1" applyAlignment="1">
      <alignment horizontal="center"/>
    </xf>
    <xf numFmtId="0" fontId="18" fillId="0" borderId="0" xfId="0" applyFont="1"/>
    <xf numFmtId="0" fontId="20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/>
    </xf>
    <xf numFmtId="0" fontId="23" fillId="5" borderId="1" xfId="0" applyFont="1" applyFill="1" applyBorder="1" applyAlignment="1">
      <alignment vertical="center" wrapText="1"/>
    </xf>
    <xf numFmtId="0" fontId="27" fillId="7" borderId="1" xfId="0" applyFont="1" applyFill="1" applyBorder="1" applyAlignment="1">
      <alignment horizontal="right"/>
    </xf>
    <xf numFmtId="0" fontId="0" fillId="0" borderId="0" xfId="0" applyAlignment="1">
      <alignment horizontal="left"/>
    </xf>
    <xf numFmtId="1" fontId="17" fillId="0" borderId="0" xfId="0" applyNumberFormat="1" applyFont="1"/>
    <xf numFmtId="0" fontId="21" fillId="11" borderId="1" xfId="0" applyFont="1" applyFill="1" applyBorder="1" applyAlignment="1">
      <alignment horizontal="right"/>
    </xf>
    <xf numFmtId="0" fontId="27" fillId="4" borderId="1" xfId="0" applyFont="1" applyFill="1" applyBorder="1" applyAlignment="1">
      <alignment horizontal="right"/>
    </xf>
    <xf numFmtId="0" fontId="27" fillId="11" borderId="1" xfId="0" applyFont="1" applyFill="1" applyBorder="1" applyAlignment="1">
      <alignment horizontal="right"/>
    </xf>
    <xf numFmtId="0" fontId="23" fillId="15" borderId="2" xfId="0" applyFont="1" applyFill="1" applyBorder="1"/>
    <xf numFmtId="0" fontId="20" fillId="17" borderId="5" xfId="0" applyFont="1" applyFill="1" applyBorder="1"/>
    <xf numFmtId="0" fontId="42" fillId="21" borderId="6" xfId="0" applyFont="1" applyFill="1" applyBorder="1" applyAlignment="1">
      <alignment vertical="center" wrapText="1"/>
    </xf>
    <xf numFmtId="0" fontId="23" fillId="17" borderId="1" xfId="0" applyFont="1" applyFill="1" applyBorder="1" applyAlignment="1">
      <alignment horizontal="left" vertical="center" wrapText="1"/>
    </xf>
    <xf numFmtId="0" fontId="62" fillId="4" borderId="3" xfId="0" applyFont="1" applyFill="1" applyBorder="1" applyAlignment="1">
      <alignment horizontal="left" wrapText="1"/>
    </xf>
    <xf numFmtId="0" fontId="62" fillId="4" borderId="1" xfId="0" applyFont="1" applyFill="1" applyBorder="1"/>
    <xf numFmtId="0" fontId="62" fillId="4" borderId="2" xfId="0" applyFont="1" applyFill="1" applyBorder="1"/>
    <xf numFmtId="0" fontId="62" fillId="4" borderId="11" xfId="0" applyFont="1" applyFill="1" applyBorder="1"/>
    <xf numFmtId="0" fontId="62" fillId="4" borderId="3" xfId="0" applyFont="1" applyFill="1" applyBorder="1"/>
    <xf numFmtId="0" fontId="62" fillId="4" borderId="0" xfId="0" applyFont="1" applyFill="1"/>
    <xf numFmtId="0" fontId="62" fillId="4" borderId="10" xfId="0" applyFont="1" applyFill="1" applyBorder="1" applyAlignment="1">
      <alignment vertical="center" wrapText="1"/>
    </xf>
    <xf numFmtId="0" fontId="62" fillId="4" borderId="5" xfId="0" applyFont="1" applyFill="1" applyBorder="1" applyAlignment="1">
      <alignment vertical="center" wrapText="1"/>
    </xf>
    <xf numFmtId="0" fontId="62" fillId="4" borderId="1" xfId="0" applyFont="1" applyFill="1" applyBorder="1" applyAlignment="1">
      <alignment vertical="center" wrapText="1"/>
    </xf>
    <xf numFmtId="0" fontId="62" fillId="4" borderId="1" xfId="0" applyFont="1" applyFill="1" applyBorder="1" applyAlignment="1">
      <alignment horizontal="center" vertical="center" wrapText="1"/>
    </xf>
    <xf numFmtId="0" fontId="62" fillId="4" borderId="6" xfId="0" applyFont="1" applyFill="1" applyBorder="1" applyAlignment="1">
      <alignment horizontal="center" vertical="center" wrapText="1"/>
    </xf>
    <xf numFmtId="0" fontId="63" fillId="4" borderId="7" xfId="0" applyFont="1" applyFill="1" applyBorder="1"/>
    <xf numFmtId="49" fontId="63" fillId="4" borderId="7" xfId="0" applyNumberFormat="1" applyFont="1" applyFill="1" applyBorder="1"/>
    <xf numFmtId="0" fontId="63" fillId="4" borderId="8" xfId="0" applyFont="1" applyFill="1" applyBorder="1"/>
    <xf numFmtId="0" fontId="63" fillId="4" borderId="1" xfId="0" applyFont="1" applyFill="1" applyBorder="1"/>
    <xf numFmtId="0" fontId="31" fillId="2" borderId="1" xfId="0" applyFont="1" applyFill="1" applyBorder="1" applyAlignment="1">
      <alignment horizontal="center"/>
    </xf>
    <xf numFmtId="0" fontId="16" fillId="0" borderId="0" xfId="0" applyFont="1"/>
    <xf numFmtId="0" fontId="65" fillId="0" borderId="0" xfId="0" applyFont="1"/>
    <xf numFmtId="0" fontId="64" fillId="3" borderId="0" xfId="0" applyFont="1" applyFill="1"/>
    <xf numFmtId="0" fontId="64" fillId="6" borderId="1" xfId="0" applyFont="1" applyFill="1" applyBorder="1" applyAlignment="1">
      <alignment horizontal="center" vertical="center" wrapText="1"/>
    </xf>
    <xf numFmtId="0" fontId="64" fillId="24" borderId="1" xfId="0" applyFont="1" applyFill="1" applyBorder="1" applyAlignment="1">
      <alignment horizontal="center" vertical="center" wrapText="1"/>
    </xf>
    <xf numFmtId="0" fontId="64" fillId="22" borderId="1" xfId="0" applyFont="1" applyFill="1" applyBorder="1" applyAlignment="1">
      <alignment horizontal="center" vertical="center" wrapText="1"/>
    </xf>
    <xf numFmtId="16" fontId="23" fillId="5" borderId="1" xfId="0" applyNumberFormat="1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/>
    </xf>
    <xf numFmtId="0" fontId="23" fillId="13" borderId="1" xfId="0" applyFont="1" applyFill="1" applyBorder="1" applyAlignment="1">
      <alignment horizontal="center"/>
    </xf>
    <xf numFmtId="0" fontId="23" fillId="13" borderId="2" xfId="0" applyFont="1" applyFill="1" applyBorder="1" applyAlignment="1">
      <alignment horizontal="center"/>
    </xf>
    <xf numFmtId="0" fontId="23" fillId="13" borderId="11" xfId="0" applyFont="1" applyFill="1" applyBorder="1" applyAlignment="1">
      <alignment horizontal="center"/>
    </xf>
    <xf numFmtId="0" fontId="23" fillId="13" borderId="3" xfId="0" applyFont="1" applyFill="1" applyBorder="1" applyAlignment="1">
      <alignment horizontal="center"/>
    </xf>
    <xf numFmtId="0" fontId="20" fillId="3" borderId="0" xfId="0" applyFont="1" applyFill="1"/>
    <xf numFmtId="0" fontId="20" fillId="15" borderId="0" xfId="0" applyFont="1" applyFill="1"/>
    <xf numFmtId="0" fontId="20" fillId="25" borderId="0" xfId="0" applyFont="1" applyFill="1"/>
    <xf numFmtId="0" fontId="20" fillId="25" borderId="0" xfId="0" applyFont="1" applyFill="1" applyAlignment="1">
      <alignment horizontal="right"/>
    </xf>
    <xf numFmtId="0" fontId="0" fillId="25" borderId="0" xfId="0" applyFill="1"/>
    <xf numFmtId="0" fontId="45" fillId="3" borderId="1" xfId="0" applyFont="1" applyFill="1" applyBorder="1"/>
    <xf numFmtId="0" fontId="54" fillId="3" borderId="1" xfId="0" applyFont="1" applyFill="1" applyBorder="1"/>
    <xf numFmtId="0" fontId="20" fillId="2" borderId="0" xfId="0" applyFont="1" applyFill="1"/>
    <xf numFmtId="0" fontId="0" fillId="2" borderId="0" xfId="0" applyFill="1"/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right" vertical="center"/>
    </xf>
    <xf numFmtId="0" fontId="24" fillId="2" borderId="0" xfId="0" applyFont="1" applyFill="1"/>
    <xf numFmtId="0" fontId="24" fillId="2" borderId="0" xfId="0" applyFont="1" applyFill="1" applyAlignment="1">
      <alignment vertical="center"/>
    </xf>
    <xf numFmtId="10" fontId="24" fillId="2" borderId="0" xfId="0" applyNumberFormat="1" applyFont="1" applyFill="1" applyAlignment="1">
      <alignment vertical="center"/>
    </xf>
    <xf numFmtId="0" fontId="20" fillId="25" borderId="0" xfId="0" applyFont="1" applyFill="1" applyAlignment="1">
      <alignment horizontal="center" vertical="center"/>
    </xf>
    <xf numFmtId="0" fontId="20" fillId="25" borderId="0" xfId="0" applyFont="1" applyFill="1" applyAlignment="1">
      <alignment horizontal="right" vertical="center"/>
    </xf>
    <xf numFmtId="0" fontId="24" fillId="25" borderId="0" xfId="0" applyFont="1" applyFill="1"/>
    <xf numFmtId="0" fontId="24" fillId="25" borderId="0" xfId="0" applyFont="1" applyFill="1" applyAlignment="1">
      <alignment vertical="center"/>
    </xf>
    <xf numFmtId="10" fontId="24" fillId="25" borderId="0" xfId="0" applyNumberFormat="1" applyFont="1" applyFill="1" applyAlignment="1">
      <alignment vertical="center"/>
    </xf>
    <xf numFmtId="0" fontId="23" fillId="25" borderId="0" xfId="0" applyFont="1" applyFill="1"/>
    <xf numFmtId="1" fontId="20" fillId="25" borderId="0" xfId="0" applyNumberFormat="1" applyFont="1" applyFill="1"/>
    <xf numFmtId="0" fontId="20" fillId="0" borderId="1" xfId="0" applyFont="1" applyBorder="1" applyAlignment="1">
      <alignment vertical="center" wrapText="1"/>
    </xf>
    <xf numFmtId="0" fontId="43" fillId="0" borderId="4" xfId="0" applyFont="1" applyBorder="1" applyAlignment="1">
      <alignment horizontal="right" vertical="center" wrapText="1"/>
    </xf>
    <xf numFmtId="0" fontId="20" fillId="0" borderId="5" xfId="0" applyFont="1" applyBorder="1" applyAlignment="1">
      <alignment vertical="center" wrapText="1"/>
    </xf>
    <xf numFmtId="0" fontId="43" fillId="0" borderId="6" xfId="0" applyFont="1" applyBorder="1" applyAlignment="1">
      <alignment horizontal="right" vertical="center" wrapText="1"/>
    </xf>
    <xf numFmtId="0" fontId="27" fillId="13" borderId="0" xfId="0" applyFont="1" applyFill="1"/>
    <xf numFmtId="0" fontId="29" fillId="8" borderId="0" xfId="0" applyFont="1" applyFill="1"/>
    <xf numFmtId="0" fontId="21" fillId="26" borderId="0" xfId="0" applyFont="1" applyFill="1"/>
    <xf numFmtId="0" fontId="45" fillId="3" borderId="3" xfId="0" applyFont="1" applyFill="1" applyBorder="1" applyAlignment="1">
      <alignment horizontal="left" wrapText="1"/>
    </xf>
    <xf numFmtId="0" fontId="45" fillId="3" borderId="2" xfId="0" applyFont="1" applyFill="1" applyBorder="1"/>
    <xf numFmtId="0" fontId="45" fillId="3" borderId="11" xfId="0" applyFont="1" applyFill="1" applyBorder="1"/>
    <xf numFmtId="0" fontId="45" fillId="3" borderId="3" xfId="0" applyFont="1" applyFill="1" applyBorder="1"/>
    <xf numFmtId="0" fontId="45" fillId="3" borderId="10" xfId="0" applyFont="1" applyFill="1" applyBorder="1" applyAlignment="1">
      <alignment vertical="center" wrapText="1"/>
    </xf>
    <xf numFmtId="0" fontId="45" fillId="3" borderId="1" xfId="0" applyFont="1" applyFill="1" applyBorder="1" applyAlignment="1">
      <alignment horizontal="center" vertical="center" wrapText="1"/>
    </xf>
    <xf numFmtId="0" fontId="45" fillId="3" borderId="6" xfId="0" applyFont="1" applyFill="1" applyBorder="1" applyAlignment="1">
      <alignment horizontal="center" vertical="center" wrapText="1"/>
    </xf>
    <xf numFmtId="0" fontId="54" fillId="3" borderId="7" xfId="0" applyFont="1" applyFill="1" applyBorder="1"/>
    <xf numFmtId="49" fontId="54" fillId="3" borderId="7" xfId="0" applyNumberFormat="1" applyFont="1" applyFill="1" applyBorder="1"/>
    <xf numFmtId="0" fontId="54" fillId="3" borderId="8" xfId="0" applyFont="1" applyFill="1" applyBorder="1"/>
    <xf numFmtId="0" fontId="54" fillId="3" borderId="9" xfId="0" applyFont="1" applyFill="1" applyBorder="1"/>
    <xf numFmtId="0" fontId="45" fillId="3" borderId="1" xfId="0" applyFont="1" applyFill="1" applyBorder="1" applyAlignment="1">
      <alignment horizontal="right"/>
    </xf>
    <xf numFmtId="0" fontId="54" fillId="3" borderId="0" xfId="0" applyFont="1" applyFill="1"/>
    <xf numFmtId="0" fontId="45" fillId="3" borderId="1" xfId="0" applyFont="1" applyFill="1" applyBorder="1" applyAlignment="1">
      <alignment horizontal="center"/>
    </xf>
    <xf numFmtId="0" fontId="21" fillId="10" borderId="1" xfId="0" applyFont="1" applyFill="1" applyBorder="1" applyAlignment="1">
      <alignment horizontal="center"/>
    </xf>
    <xf numFmtId="0" fontId="29" fillId="9" borderId="1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1" fillId="11" borderId="0" xfId="0" applyFont="1" applyFill="1"/>
    <xf numFmtId="0" fontId="27" fillId="7" borderId="0" xfId="0" applyFont="1" applyFill="1"/>
    <xf numFmtId="0" fontId="23" fillId="13" borderId="0" xfId="0" applyFont="1" applyFill="1"/>
    <xf numFmtId="0" fontId="21" fillId="5" borderId="0" xfId="0" applyFont="1" applyFill="1"/>
    <xf numFmtId="0" fontId="15" fillId="0" borderId="0" xfId="0" applyFont="1"/>
    <xf numFmtId="0" fontId="24" fillId="0" borderId="0" xfId="0" applyFont="1"/>
    <xf numFmtId="0" fontId="62" fillId="11" borderId="0" xfId="0" applyFont="1" applyFill="1"/>
    <xf numFmtId="0" fontId="37" fillId="6" borderId="0" xfId="0" applyFont="1" applyFill="1"/>
    <xf numFmtId="0" fontId="50" fillId="23" borderId="1" xfId="0" applyFont="1" applyFill="1" applyBorder="1" applyAlignment="1">
      <alignment horizontal="center" vertical="center" wrapText="1"/>
    </xf>
    <xf numFmtId="0" fontId="50" fillId="6" borderId="1" xfId="0" applyFont="1" applyFill="1" applyBorder="1" applyAlignment="1">
      <alignment horizontal="center" vertical="center" wrapText="1"/>
    </xf>
    <xf numFmtId="0" fontId="50" fillId="24" borderId="1" xfId="0" applyFont="1" applyFill="1" applyBorder="1" applyAlignment="1">
      <alignment horizontal="center" vertical="center" wrapText="1"/>
    </xf>
    <xf numFmtId="0" fontId="50" fillId="22" borderId="1" xfId="0" applyFont="1" applyFill="1" applyBorder="1" applyAlignment="1">
      <alignment horizontal="center" vertical="center" wrapText="1"/>
    </xf>
    <xf numFmtId="0" fontId="33" fillId="14" borderId="0" xfId="0" applyFont="1" applyFill="1"/>
    <xf numFmtId="0" fontId="27" fillId="11" borderId="0" xfId="0" applyFont="1" applyFill="1"/>
    <xf numFmtId="0" fontId="14" fillId="0" borderId="0" xfId="0" applyFont="1"/>
    <xf numFmtId="0" fontId="27" fillId="12" borderId="0" xfId="0" applyFont="1" applyFill="1"/>
    <xf numFmtId="0" fontId="50" fillId="23" borderId="5" xfId="0" applyFont="1" applyFill="1" applyBorder="1" applyAlignment="1">
      <alignment horizontal="center" vertical="center" wrapText="1"/>
    </xf>
    <xf numFmtId="0" fontId="50" fillId="23" borderId="5" xfId="0" applyFont="1" applyFill="1" applyBorder="1"/>
    <xf numFmtId="0" fontId="27" fillId="4" borderId="0" xfId="0" applyFont="1" applyFill="1"/>
    <xf numFmtId="0" fontId="13" fillId="0" borderId="0" xfId="0" applyFont="1"/>
    <xf numFmtId="0" fontId="32" fillId="4" borderId="0" xfId="0" applyFont="1" applyFill="1"/>
    <xf numFmtId="0" fontId="12" fillId="0" borderId="0" xfId="0" applyFont="1"/>
    <xf numFmtId="0" fontId="27" fillId="23" borderId="4" xfId="0" applyFont="1" applyFill="1" applyBorder="1" applyAlignment="1">
      <alignment horizontal="center" vertical="center" wrapText="1"/>
    </xf>
    <xf numFmtId="0" fontId="28" fillId="0" borderId="0" xfId="0" applyFont="1"/>
    <xf numFmtId="0" fontId="27" fillId="23" borderId="1" xfId="0" applyFont="1" applyFill="1" applyBorder="1"/>
    <xf numFmtId="0" fontId="27" fillId="6" borderId="4" xfId="0" applyFont="1" applyFill="1" applyBorder="1" applyAlignment="1">
      <alignment horizontal="center" vertical="center" wrapText="1"/>
    </xf>
    <xf numFmtId="0" fontId="27" fillId="24" borderId="4" xfId="0" applyFont="1" applyFill="1" applyBorder="1" applyAlignment="1">
      <alignment horizontal="center" vertical="center" wrapText="1"/>
    </xf>
    <xf numFmtId="0" fontId="27" fillId="22" borderId="4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right"/>
    </xf>
    <xf numFmtId="0" fontId="32" fillId="4" borderId="1" xfId="0" applyFont="1" applyFill="1" applyBorder="1" applyAlignment="1">
      <alignment horizontal="right"/>
    </xf>
    <xf numFmtId="0" fontId="33" fillId="14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21" fillId="11" borderId="1" xfId="0" applyFont="1" applyFill="1" applyBorder="1" applyAlignment="1">
      <alignment horizontal="center"/>
    </xf>
    <xf numFmtId="0" fontId="27" fillId="7" borderId="1" xfId="0" applyFont="1" applyFill="1" applyBorder="1" applyAlignment="1">
      <alignment horizontal="center"/>
    </xf>
    <xf numFmtId="0" fontId="11" fillId="0" borderId="0" xfId="0" applyFont="1"/>
    <xf numFmtId="0" fontId="35" fillId="6" borderId="1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49" fontId="38" fillId="5" borderId="1" xfId="0" applyNumberFormat="1" applyFont="1" applyFill="1" applyBorder="1" applyAlignment="1">
      <alignment horizontal="center"/>
    </xf>
    <xf numFmtId="0" fontId="47" fillId="11" borderId="1" xfId="0" applyFont="1" applyFill="1" applyBorder="1" applyAlignment="1">
      <alignment horizontal="right"/>
    </xf>
    <xf numFmtId="0" fontId="27" fillId="4" borderId="1" xfId="0" applyFont="1" applyFill="1" applyBorder="1" applyAlignment="1">
      <alignment horizontal="center"/>
    </xf>
    <xf numFmtId="0" fontId="27" fillId="12" borderId="1" xfId="0" applyFont="1" applyFill="1" applyBorder="1" applyAlignment="1">
      <alignment horizontal="center"/>
    </xf>
    <xf numFmtId="0" fontId="10" fillId="0" borderId="0" xfId="0" applyFont="1"/>
    <xf numFmtId="0" fontId="62" fillId="4" borderId="1" xfId="0" applyFont="1" applyFill="1" applyBorder="1" applyAlignment="1">
      <alignment horizontal="right"/>
    </xf>
    <xf numFmtId="49" fontId="58" fillId="5" borderId="7" xfId="0" applyNumberFormat="1" applyFont="1" applyFill="1" applyBorder="1" applyAlignment="1">
      <alignment horizontal="center"/>
    </xf>
    <xf numFmtId="49" fontId="55" fillId="5" borderId="1" xfId="0" applyNumberFormat="1" applyFont="1" applyFill="1" applyBorder="1" applyAlignment="1">
      <alignment horizontal="center"/>
    </xf>
    <xf numFmtId="14" fontId="41" fillId="3" borderId="0" xfId="0" applyNumberFormat="1" applyFont="1" applyFill="1" applyAlignment="1">
      <alignment vertical="center"/>
    </xf>
    <xf numFmtId="2" fontId="41" fillId="3" borderId="0" xfId="0" applyNumberFormat="1" applyFont="1" applyFill="1" applyAlignment="1">
      <alignment horizontal="center" vertical="center"/>
    </xf>
    <xf numFmtId="0" fontId="9" fillId="0" borderId="0" xfId="0" applyFont="1"/>
    <xf numFmtId="0" fontId="27" fillId="11" borderId="1" xfId="0" applyFont="1" applyFill="1" applyBorder="1" applyAlignment="1">
      <alignment horizontal="center"/>
    </xf>
    <xf numFmtId="0" fontId="27" fillId="6" borderId="0" xfId="0" applyFont="1" applyFill="1"/>
    <xf numFmtId="0" fontId="28" fillId="6" borderId="0" xfId="0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right" vertical="center"/>
    </xf>
    <xf numFmtId="0" fontId="28" fillId="6" borderId="0" xfId="0" applyFont="1" applyFill="1" applyAlignment="1">
      <alignment vertical="center"/>
    </xf>
    <xf numFmtId="10" fontId="28" fillId="6" borderId="0" xfId="0" applyNumberFormat="1" applyFont="1" applyFill="1" applyAlignment="1">
      <alignment vertical="center"/>
    </xf>
    <xf numFmtId="0" fontId="41" fillId="0" borderId="4" xfId="0" applyFont="1" applyBorder="1" applyAlignment="1">
      <alignment horizontal="center" vertical="center" wrapText="1"/>
    </xf>
    <xf numFmtId="0" fontId="41" fillId="21" borderId="5" xfId="0" applyFont="1" applyFill="1" applyBorder="1" applyAlignment="1">
      <alignment horizontal="right" vertical="center" wrapText="1"/>
    </xf>
    <xf numFmtId="0" fontId="66" fillId="4" borderId="6" xfId="0" applyFont="1" applyFill="1" applyBorder="1" applyAlignment="1">
      <alignment vertical="center" wrapText="1"/>
    </xf>
    <xf numFmtId="0" fontId="42" fillId="21" borderId="6" xfId="0" applyFont="1" applyFill="1" applyBorder="1" applyAlignment="1">
      <alignment horizontal="right" vertical="center" wrapText="1"/>
    </xf>
    <xf numFmtId="0" fontId="41" fillId="21" borderId="6" xfId="0" applyFont="1" applyFill="1" applyBorder="1" applyAlignment="1">
      <alignment horizontal="right" vertical="center" wrapText="1"/>
    </xf>
    <xf numFmtId="0" fontId="66" fillId="7" borderId="6" xfId="0" applyFont="1" applyFill="1" applyBorder="1" applyAlignment="1">
      <alignment vertical="center" wrapText="1"/>
    </xf>
    <xf numFmtId="0" fontId="45" fillId="21" borderId="6" xfId="0" applyFont="1" applyFill="1" applyBorder="1" applyAlignment="1">
      <alignment vertical="center" wrapText="1"/>
    </xf>
    <xf numFmtId="0" fontId="66" fillId="11" borderId="6" xfId="0" applyFont="1" applyFill="1" applyBorder="1" applyAlignment="1">
      <alignment vertical="center" wrapText="1"/>
    </xf>
    <xf numFmtId="0" fontId="62" fillId="4" borderId="1" xfId="0" applyFont="1" applyFill="1" applyBorder="1" applyAlignment="1">
      <alignment horizontal="center"/>
    </xf>
    <xf numFmtId="0" fontId="23" fillId="17" borderId="1" xfId="0" applyFont="1" applyFill="1" applyBorder="1" applyAlignment="1">
      <alignment horizontal="right" vertical="center" wrapText="1"/>
    </xf>
    <xf numFmtId="0" fontId="8" fillId="21" borderId="6" xfId="0" applyFont="1" applyFill="1" applyBorder="1" applyAlignment="1">
      <alignment vertical="center" wrapText="1"/>
    </xf>
    <xf numFmtId="0" fontId="7" fillId="21" borderId="6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right"/>
    </xf>
    <xf numFmtId="0" fontId="61" fillId="0" borderId="0" xfId="0" applyFont="1" applyAlignment="1">
      <alignment wrapText="1"/>
    </xf>
    <xf numFmtId="0" fontId="56" fillId="22" borderId="1" xfId="0" applyFont="1" applyFill="1" applyBorder="1"/>
    <xf numFmtId="0" fontId="52" fillId="22" borderId="2" xfId="0" applyFont="1" applyFill="1" applyBorder="1" applyAlignment="1">
      <alignment horizontal="left" vertical="center" wrapText="1"/>
    </xf>
    <xf numFmtId="0" fontId="27" fillId="22" borderId="1" xfId="0" applyFont="1" applyFill="1" applyBorder="1"/>
    <xf numFmtId="0" fontId="56" fillId="22" borderId="1" xfId="0" applyFont="1" applyFill="1" applyBorder="1" applyAlignment="1">
      <alignment horizontal="center" vertical="center" wrapText="1"/>
    </xf>
    <xf numFmtId="0" fontId="53" fillId="22" borderId="1" xfId="0" applyFont="1" applyFill="1" applyBorder="1" applyAlignment="1">
      <alignment horizontal="center" vertical="center" wrapText="1"/>
    </xf>
    <xf numFmtId="0" fontId="53" fillId="22" borderId="4" xfId="0" applyFont="1" applyFill="1" applyBorder="1" applyAlignment="1">
      <alignment horizontal="center" vertical="center" wrapText="1"/>
    </xf>
    <xf numFmtId="0" fontId="27" fillId="22" borderId="1" xfId="0" applyFont="1" applyFill="1" applyBorder="1" applyAlignment="1">
      <alignment horizontal="center" vertical="center" wrapText="1"/>
    </xf>
    <xf numFmtId="0" fontId="52" fillId="22" borderId="1" xfId="0" applyFont="1" applyFill="1" applyBorder="1"/>
    <xf numFmtId="0" fontId="6" fillId="0" borderId="0" xfId="0" applyFont="1"/>
    <xf numFmtId="49" fontId="23" fillId="15" borderId="7" xfId="0" applyNumberFormat="1" applyFont="1" applyFill="1" applyBorder="1" applyAlignment="1">
      <alignment horizontal="center"/>
    </xf>
    <xf numFmtId="16" fontId="23" fillId="23" borderId="5" xfId="0" applyNumberFormat="1" applyFont="1" applyFill="1" applyBorder="1" applyAlignment="1">
      <alignment horizontal="left" vertical="center" wrapText="1"/>
    </xf>
    <xf numFmtId="0" fontId="23" fillId="23" borderId="6" xfId="0" applyFont="1" applyFill="1" applyBorder="1" applyAlignment="1">
      <alignment vertical="center" wrapText="1"/>
    </xf>
    <xf numFmtId="0" fontId="23" fillId="23" borderId="6" xfId="0" applyFont="1" applyFill="1" applyBorder="1" applyAlignment="1">
      <alignment horizontal="center" vertical="center" wrapText="1"/>
    </xf>
    <xf numFmtId="0" fontId="24" fillId="23" borderId="1" xfId="0" applyFont="1" applyFill="1" applyBorder="1"/>
    <xf numFmtId="0" fontId="24" fillId="23" borderId="9" xfId="0" applyFont="1" applyFill="1" applyBorder="1"/>
    <xf numFmtId="0" fontId="23" fillId="23" borderId="1" xfId="0" applyFont="1" applyFill="1" applyBorder="1"/>
    <xf numFmtId="0" fontId="23" fillId="23" borderId="4" xfId="0" applyFont="1" applyFill="1" applyBorder="1"/>
    <xf numFmtId="0" fontId="50" fillId="22" borderId="1" xfId="0" applyFont="1" applyFill="1" applyBorder="1"/>
    <xf numFmtId="0" fontId="49" fillId="22" borderId="1" xfId="0" applyFont="1" applyFill="1" applyBorder="1"/>
    <xf numFmtId="0" fontId="67" fillId="22" borderId="4" xfId="0" applyFont="1" applyFill="1" applyBorder="1" applyAlignment="1">
      <alignment horizontal="center" vertical="center" wrapText="1"/>
    </xf>
    <xf numFmtId="0" fontId="68" fillId="0" borderId="0" xfId="0" applyFont="1"/>
    <xf numFmtId="0" fontId="67" fillId="3" borderId="0" xfId="0" applyFont="1" applyFill="1"/>
    <xf numFmtId="0" fontId="67" fillId="22" borderId="1" xfId="0" applyFont="1" applyFill="1" applyBorder="1"/>
    <xf numFmtId="0" fontId="67" fillId="6" borderId="4" xfId="0" applyFont="1" applyFill="1" applyBorder="1" applyAlignment="1">
      <alignment horizontal="center" vertical="center" wrapText="1"/>
    </xf>
    <xf numFmtId="0" fontId="67" fillId="24" borderId="4" xfId="0" applyFont="1" applyFill="1" applyBorder="1" applyAlignment="1">
      <alignment horizontal="center" vertical="center" wrapText="1"/>
    </xf>
    <xf numFmtId="0" fontId="67" fillId="22" borderId="2" xfId="0" applyFont="1" applyFill="1" applyBorder="1" applyAlignment="1">
      <alignment horizontal="left" vertical="center" wrapText="1"/>
    </xf>
    <xf numFmtId="0" fontId="68" fillId="22" borderId="1" xfId="0" applyFont="1" applyFill="1" applyBorder="1" applyAlignment="1">
      <alignment horizontal="center" vertical="center" wrapText="1"/>
    </xf>
    <xf numFmtId="0" fontId="68" fillId="22" borderId="4" xfId="0" applyFont="1" applyFill="1" applyBorder="1" applyAlignment="1">
      <alignment horizontal="center" vertical="center" wrapText="1"/>
    </xf>
    <xf numFmtId="0" fontId="49" fillId="22" borderId="5" xfId="0" applyFont="1" applyFill="1" applyBorder="1"/>
    <xf numFmtId="0" fontId="64" fillId="22" borderId="1" xfId="0" applyFont="1" applyFill="1" applyBorder="1"/>
    <xf numFmtId="49" fontId="38" fillId="23" borderId="1" xfId="0" applyNumberFormat="1" applyFont="1" applyFill="1" applyBorder="1" applyAlignment="1">
      <alignment horizontal="center"/>
    </xf>
    <xf numFmtId="0" fontId="50" fillId="22" borderId="5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vertical="center" wrapText="1"/>
    </xf>
    <xf numFmtId="14" fontId="20" fillId="20" borderId="0" xfId="0" applyNumberFormat="1" applyFont="1" applyFill="1"/>
    <xf numFmtId="0" fontId="20" fillId="20" borderId="0" xfId="0" applyFont="1" applyFill="1"/>
    <xf numFmtId="0" fontId="20" fillId="20" borderId="0" xfId="0" applyFont="1" applyFill="1" applyAlignment="1">
      <alignment horizontal="center"/>
    </xf>
    <xf numFmtId="2" fontId="20" fillId="0" borderId="18" xfId="0" applyNumberFormat="1" applyFont="1" applyBorder="1"/>
    <xf numFmtId="2" fontId="20" fillId="0" borderId="19" xfId="0" applyNumberFormat="1" applyFont="1" applyBorder="1"/>
    <xf numFmtId="0" fontId="20" fillId="17" borderId="1" xfId="0" applyFont="1" applyFill="1" applyBorder="1" applyAlignment="1">
      <alignment horizontal="left" vertical="center" wrapText="1"/>
    </xf>
    <xf numFmtId="0" fontId="5" fillId="0" borderId="0" xfId="0" applyFont="1"/>
    <xf numFmtId="0" fontId="20" fillId="21" borderId="5" xfId="0" applyFont="1" applyFill="1" applyBorder="1" applyAlignment="1">
      <alignment horizontal="right" vertical="center" wrapText="1"/>
    </xf>
    <xf numFmtId="49" fontId="24" fillId="8" borderId="1" xfId="0" applyNumberFormat="1" applyFont="1" applyFill="1" applyBorder="1" applyAlignment="1">
      <alignment horizontal="center"/>
    </xf>
    <xf numFmtId="49" fontId="24" fillId="15" borderId="1" xfId="0" applyNumberFormat="1" applyFont="1" applyFill="1" applyBorder="1" applyAlignment="1">
      <alignment horizontal="center"/>
    </xf>
    <xf numFmtId="0" fontId="27" fillId="27" borderId="6" xfId="0" applyFont="1" applyFill="1" applyBorder="1" applyAlignment="1">
      <alignment vertical="center" wrapText="1"/>
    </xf>
    <xf numFmtId="0" fontId="27" fillId="27" borderId="1" xfId="0" applyFont="1" applyFill="1" applyBorder="1" applyAlignment="1">
      <alignment vertical="center" wrapText="1"/>
    </xf>
    <xf numFmtId="0" fontId="27" fillId="27" borderId="3" xfId="0" applyFont="1" applyFill="1" applyBorder="1" applyAlignment="1">
      <alignment horizontal="left" wrapText="1"/>
    </xf>
    <xf numFmtId="0" fontId="27" fillId="27" borderId="1" xfId="0" applyFont="1" applyFill="1" applyBorder="1" applyAlignment="1">
      <alignment horizontal="center"/>
    </xf>
    <xf numFmtId="0" fontId="27" fillId="27" borderId="2" xfId="0" applyFont="1" applyFill="1" applyBorder="1"/>
    <xf numFmtId="0" fontId="27" fillId="27" borderId="1" xfId="0" applyFont="1" applyFill="1" applyBorder="1"/>
    <xf numFmtId="0" fontId="27" fillId="27" borderId="11" xfId="0" applyFont="1" applyFill="1" applyBorder="1"/>
    <xf numFmtId="0" fontId="27" fillId="27" borderId="3" xfId="0" applyFont="1" applyFill="1" applyBorder="1"/>
    <xf numFmtId="0" fontId="27" fillId="27" borderId="10" xfId="0" applyFont="1" applyFill="1" applyBorder="1" applyAlignment="1">
      <alignment vertical="center" wrapText="1"/>
    </xf>
    <xf numFmtId="0" fontId="27" fillId="27" borderId="5" xfId="0" applyFont="1" applyFill="1" applyBorder="1" applyAlignment="1">
      <alignment vertical="center" wrapText="1"/>
    </xf>
    <xf numFmtId="0" fontId="27" fillId="27" borderId="1" xfId="0" applyFont="1" applyFill="1" applyBorder="1" applyAlignment="1">
      <alignment horizontal="center" vertical="center" wrapText="1"/>
    </xf>
    <xf numFmtId="0" fontId="27" fillId="27" borderId="6" xfId="0" applyFont="1" applyFill="1" applyBorder="1" applyAlignment="1">
      <alignment horizontal="center" vertical="center" wrapText="1"/>
    </xf>
    <xf numFmtId="0" fontId="28" fillId="27" borderId="7" xfId="0" applyFont="1" applyFill="1" applyBorder="1"/>
    <xf numFmtId="49" fontId="28" fillId="27" borderId="7" xfId="0" applyNumberFormat="1" applyFont="1" applyFill="1" applyBorder="1"/>
    <xf numFmtId="0" fontId="28" fillId="27" borderId="8" xfId="0" applyFont="1" applyFill="1" applyBorder="1"/>
    <xf numFmtId="0" fontId="28" fillId="27" borderId="12" xfId="0" applyFont="1" applyFill="1" applyBorder="1"/>
    <xf numFmtId="0" fontId="28" fillId="27" borderId="9" xfId="0" applyFont="1" applyFill="1" applyBorder="1"/>
    <xf numFmtId="0" fontId="27" fillId="27" borderId="1" xfId="0" applyFont="1" applyFill="1" applyBorder="1" applyAlignment="1">
      <alignment horizontal="right"/>
    </xf>
    <xf numFmtId="0" fontId="27" fillId="27" borderId="0" xfId="0" applyFont="1" applyFill="1"/>
    <xf numFmtId="0" fontId="27" fillId="14" borderId="3" xfId="0" applyFont="1" applyFill="1" applyBorder="1" applyAlignment="1">
      <alignment horizontal="left" wrapText="1"/>
    </xf>
    <xf numFmtId="0" fontId="27" fillId="14" borderId="1" xfId="0" applyFont="1" applyFill="1" applyBorder="1" applyAlignment="1">
      <alignment horizontal="center"/>
    </xf>
    <xf numFmtId="0" fontId="27" fillId="14" borderId="2" xfId="0" applyFont="1" applyFill="1" applyBorder="1"/>
    <xf numFmtId="0" fontId="27" fillId="14" borderId="1" xfId="0" applyFont="1" applyFill="1" applyBorder="1"/>
    <xf numFmtId="0" fontId="27" fillId="14" borderId="11" xfId="0" applyFont="1" applyFill="1" applyBorder="1"/>
    <xf numFmtId="0" fontId="27" fillId="14" borderId="3" xfId="0" applyFont="1" applyFill="1" applyBorder="1"/>
    <xf numFmtId="0" fontId="27" fillId="14" borderId="10" xfId="0" applyFont="1" applyFill="1" applyBorder="1" applyAlignment="1">
      <alignment vertical="center" wrapText="1"/>
    </xf>
    <xf numFmtId="0" fontId="27" fillId="14" borderId="5" xfId="0" applyFont="1" applyFill="1" applyBorder="1" applyAlignment="1">
      <alignment vertical="center" wrapText="1"/>
    </xf>
    <xf numFmtId="0" fontId="27" fillId="14" borderId="1" xfId="0" applyFont="1" applyFill="1" applyBorder="1" applyAlignment="1">
      <alignment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14" borderId="6" xfId="0" applyFont="1" applyFill="1" applyBorder="1" applyAlignment="1">
      <alignment horizontal="center" vertical="center" wrapText="1"/>
    </xf>
    <xf numFmtId="0" fontId="28" fillId="14" borderId="7" xfId="0" applyFont="1" applyFill="1" applyBorder="1"/>
    <xf numFmtId="49" fontId="28" fillId="14" borderId="7" xfId="0" applyNumberFormat="1" applyFont="1" applyFill="1" applyBorder="1"/>
    <xf numFmtId="0" fontId="28" fillId="14" borderId="8" xfId="0" applyFont="1" applyFill="1" applyBorder="1"/>
    <xf numFmtId="0" fontId="28" fillId="14" borderId="12" xfId="0" applyFont="1" applyFill="1" applyBorder="1"/>
    <xf numFmtId="0" fontId="28" fillId="14" borderId="9" xfId="0" applyFont="1" applyFill="1" applyBorder="1"/>
    <xf numFmtId="0" fontId="27" fillId="14" borderId="1" xfId="0" applyFont="1" applyFill="1" applyBorder="1" applyAlignment="1">
      <alignment horizontal="right"/>
    </xf>
    <xf numFmtId="0" fontId="27" fillId="14" borderId="0" xfId="0" applyFont="1" applyFill="1"/>
    <xf numFmtId="1" fontId="4" fillId="0" borderId="0" xfId="0" applyNumberFormat="1" applyFont="1"/>
    <xf numFmtId="16" fontId="23" fillId="25" borderId="5" xfId="0" applyNumberFormat="1" applyFont="1" applyFill="1" applyBorder="1" applyAlignment="1">
      <alignment horizontal="left" vertical="center" wrapText="1"/>
    </xf>
    <xf numFmtId="0" fontId="23" fillId="25" borderId="6" xfId="0" applyFont="1" applyFill="1" applyBorder="1" applyAlignment="1">
      <alignment vertical="center" wrapText="1"/>
    </xf>
    <xf numFmtId="0" fontId="23" fillId="25" borderId="6" xfId="0" applyFont="1" applyFill="1" applyBorder="1" applyAlignment="1">
      <alignment horizontal="center" vertical="center" wrapText="1"/>
    </xf>
    <xf numFmtId="0" fontId="24" fillId="25" borderId="7" xfId="0" applyFont="1" applyFill="1" applyBorder="1"/>
    <xf numFmtId="49" fontId="38" fillId="25" borderId="7" xfId="0" applyNumberFormat="1" applyFont="1" applyFill="1" applyBorder="1" applyAlignment="1">
      <alignment horizontal="center"/>
    </xf>
    <xf numFmtId="0" fontId="24" fillId="25" borderId="8" xfId="0" applyFont="1" applyFill="1" applyBorder="1"/>
    <xf numFmtId="0" fontId="24" fillId="25" borderId="1" xfId="0" applyFont="1" applyFill="1" applyBorder="1"/>
    <xf numFmtId="0" fontId="24" fillId="25" borderId="9" xfId="0" applyFont="1" applyFill="1" applyBorder="1"/>
    <xf numFmtId="0" fontId="23" fillId="25" borderId="1" xfId="0" applyFont="1" applyFill="1" applyBorder="1"/>
    <xf numFmtId="0" fontId="23" fillId="25" borderId="4" xfId="0" applyFont="1" applyFill="1" applyBorder="1"/>
    <xf numFmtId="0" fontId="23" fillId="25" borderId="5" xfId="0" applyFont="1" applyFill="1" applyBorder="1" applyAlignment="1">
      <alignment vertical="center" wrapText="1"/>
    </xf>
    <xf numFmtId="0" fontId="23" fillId="25" borderId="6" xfId="0" applyFont="1" applyFill="1" applyBorder="1" applyAlignment="1">
      <alignment horizontal="left" vertical="center" wrapText="1"/>
    </xf>
    <xf numFmtId="49" fontId="44" fillId="25" borderId="7" xfId="0" applyNumberFormat="1" applyFont="1" applyFill="1" applyBorder="1" applyAlignment="1">
      <alignment horizontal="center"/>
    </xf>
    <xf numFmtId="1" fontId="23" fillId="25" borderId="6" xfId="0" applyNumberFormat="1" applyFont="1" applyFill="1" applyBorder="1" applyAlignment="1">
      <alignment horizontal="center" vertical="center" wrapText="1"/>
    </xf>
    <xf numFmtId="49" fontId="38" fillId="25" borderId="1" xfId="0" applyNumberFormat="1" applyFont="1" applyFill="1" applyBorder="1" applyAlignment="1">
      <alignment horizontal="center"/>
    </xf>
    <xf numFmtId="0" fontId="24" fillId="25" borderId="2" xfId="0" applyFont="1" applyFill="1" applyBorder="1"/>
    <xf numFmtId="0" fontId="24" fillId="25" borderId="3" xfId="0" applyFont="1" applyFill="1" applyBorder="1"/>
    <xf numFmtId="0" fontId="20" fillId="20" borderId="0" xfId="0" applyFont="1" applyFill="1" applyAlignment="1">
      <alignment horizontal="left"/>
    </xf>
    <xf numFmtId="1" fontId="27" fillId="2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2" fontId="20" fillId="0" borderId="20" xfId="0" applyNumberFormat="1" applyFont="1" applyBorder="1"/>
    <xf numFmtId="0" fontId="0" fillId="0" borderId="0" xfId="0" applyAlignment="1">
      <alignment horizontal="center"/>
    </xf>
    <xf numFmtId="0" fontId="3" fillId="0" borderId="0" xfId="0" applyFont="1"/>
    <xf numFmtId="2" fontId="0" fillId="0" borderId="20" xfId="0" applyNumberFormat="1" applyBorder="1"/>
    <xf numFmtId="0" fontId="2" fillId="0" borderId="0" xfId="0" applyFont="1"/>
    <xf numFmtId="49" fontId="55" fillId="15" borderId="1" xfId="0" applyNumberFormat="1" applyFont="1" applyFill="1" applyBorder="1" applyAlignment="1">
      <alignment horizontal="center"/>
    </xf>
    <xf numFmtId="16" fontId="23" fillId="23" borderId="1" xfId="0" applyNumberFormat="1" applyFont="1" applyFill="1" applyBorder="1" applyAlignment="1">
      <alignment horizontal="left" vertical="center" wrapText="1"/>
    </xf>
    <xf numFmtId="0" fontId="23" fillId="23" borderId="1" xfId="0" applyFont="1" applyFill="1" applyBorder="1" applyAlignment="1">
      <alignment vertical="center" wrapText="1"/>
    </xf>
    <xf numFmtId="49" fontId="44" fillId="23" borderId="1" xfId="0" applyNumberFormat="1" applyFont="1" applyFill="1" applyBorder="1" applyAlignment="1">
      <alignment horizontal="center"/>
    </xf>
    <xf numFmtId="0" fontId="1" fillId="0" borderId="0" xfId="0" applyFont="1"/>
    <xf numFmtId="49" fontId="58" fillId="8" borderId="1" xfId="0" applyNumberFormat="1" applyFont="1" applyFill="1" applyBorder="1" applyAlignment="1">
      <alignment horizontal="center"/>
    </xf>
    <xf numFmtId="14" fontId="0" fillId="3" borderId="0" xfId="0" applyNumberFormat="1" applyFill="1"/>
    <xf numFmtId="0" fontId="20" fillId="3" borderId="0" xfId="0" applyFont="1" applyFill="1" applyAlignment="1">
      <alignment horizontal="center"/>
    </xf>
    <xf numFmtId="0" fontId="20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1" fillId="20" borderId="0" xfId="0" applyFont="1" applyFill="1" applyAlignment="1">
      <alignment horizontal="right" vertical="center"/>
    </xf>
    <xf numFmtId="0" fontId="41" fillId="20" borderId="0" xfId="0" applyFont="1" applyFill="1" applyAlignment="1">
      <alignment vertical="center"/>
    </xf>
    <xf numFmtId="0" fontId="40" fillId="20" borderId="0" xfId="0" applyFont="1" applyFill="1"/>
    <xf numFmtId="0" fontId="43" fillId="0" borderId="0" xfId="0" applyFont="1" applyAlignment="1">
      <alignment vertical="center" wrapText="1"/>
    </xf>
    <xf numFmtId="0" fontId="42" fillId="3" borderId="0" xfId="0" applyFont="1" applyFill="1" applyAlignment="1">
      <alignment vertical="center"/>
    </xf>
    <xf numFmtId="0" fontId="20" fillId="8" borderId="2" xfId="0" applyFont="1" applyFill="1" applyBorder="1" applyAlignment="1">
      <alignment horizontal="center"/>
    </xf>
    <xf numFmtId="0" fontId="20" fillId="8" borderId="4" xfId="0" applyFont="1" applyFill="1" applyBorder="1" applyAlignment="1">
      <alignment horizontal="center"/>
    </xf>
    <xf numFmtId="0" fontId="20" fillId="8" borderId="7" xfId="0" applyFont="1" applyFill="1" applyBorder="1" applyAlignment="1">
      <alignment horizontal="center"/>
    </xf>
    <xf numFmtId="0" fontId="20" fillId="8" borderId="5" xfId="0" applyFont="1" applyFill="1" applyBorder="1" applyAlignment="1">
      <alignment horizontal="center"/>
    </xf>
    <xf numFmtId="0" fontId="20" fillId="8" borderId="3" xfId="0" applyFont="1" applyFill="1" applyBorder="1" applyAlignment="1">
      <alignment horizontal="center"/>
    </xf>
    <xf numFmtId="0" fontId="39" fillId="18" borderId="2" xfId="0" applyFont="1" applyFill="1" applyBorder="1" applyAlignment="1">
      <alignment horizontal="center" vertical="center" wrapText="1"/>
    </xf>
    <xf numFmtId="0" fontId="39" fillId="18" borderId="4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0" fillId="0" borderId="0" xfId="0"/>
    <xf numFmtId="0" fontId="39" fillId="17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0" fillId="3" borderId="0" xfId="0" applyFont="1" applyFill="1"/>
    <xf numFmtId="0" fontId="0" fillId="3" borderId="0" xfId="0" applyFill="1"/>
    <xf numFmtId="0" fontId="41" fillId="20" borderId="0" xfId="0" applyFont="1" applyFill="1" applyAlignment="1">
      <alignment horizontal="left" vertical="center"/>
    </xf>
    <xf numFmtId="0" fontId="20" fillId="20" borderId="0" xfId="0" applyFont="1" applyFill="1"/>
    <xf numFmtId="0" fontId="27" fillId="22" borderId="2" xfId="0" applyFont="1" applyFill="1" applyBorder="1" applyAlignment="1">
      <alignment horizontal="left" vertical="center" wrapText="1"/>
    </xf>
    <xf numFmtId="0" fontId="27" fillId="22" borderId="3" xfId="0" applyFont="1" applyFill="1" applyBorder="1" applyAlignment="1">
      <alignment horizontal="left" vertical="center" wrapText="1"/>
    </xf>
    <xf numFmtId="0" fontId="27" fillId="22" borderId="4" xfId="0" applyFont="1" applyFill="1" applyBorder="1" applyAlignment="1">
      <alignment horizontal="left" vertical="center" wrapText="1"/>
    </xf>
    <xf numFmtId="0" fontId="27" fillId="13" borderId="2" xfId="0" applyFont="1" applyFill="1" applyBorder="1" applyAlignment="1">
      <alignment horizontal="center" wrapText="1"/>
    </xf>
    <xf numFmtId="0" fontId="27" fillId="13" borderId="4" xfId="0" applyFont="1" applyFill="1" applyBorder="1" applyAlignment="1">
      <alignment horizontal="center" wrapText="1"/>
    </xf>
    <xf numFmtId="0" fontId="27" fillId="13" borderId="3" xfId="0" applyFont="1" applyFill="1" applyBorder="1" applyAlignment="1">
      <alignment horizontal="center" wrapText="1"/>
    </xf>
    <xf numFmtId="0" fontId="27" fillId="13" borderId="2" xfId="0" applyFont="1" applyFill="1" applyBorder="1" applyAlignment="1">
      <alignment horizontal="left" wrapText="1"/>
    </xf>
    <xf numFmtId="0" fontId="27" fillId="13" borderId="3" xfId="0" applyFont="1" applyFill="1" applyBorder="1" applyAlignment="1">
      <alignment horizontal="left" wrapText="1"/>
    </xf>
    <xf numFmtId="0" fontId="27" fillId="13" borderId="2" xfId="0" applyFont="1" applyFill="1" applyBorder="1" applyAlignment="1">
      <alignment horizontal="center" vertical="center" wrapText="1"/>
    </xf>
    <xf numFmtId="0" fontId="27" fillId="13" borderId="3" xfId="0" applyFont="1" applyFill="1" applyBorder="1" applyAlignment="1">
      <alignment horizontal="center" vertical="center" wrapText="1"/>
    </xf>
    <xf numFmtId="0" fontId="27" fillId="13" borderId="4" xfId="0" applyFont="1" applyFill="1" applyBorder="1" applyAlignment="1">
      <alignment horizontal="center" vertical="center" wrapText="1"/>
    </xf>
    <xf numFmtId="0" fontId="56" fillId="22" borderId="2" xfId="0" applyFont="1" applyFill="1" applyBorder="1" applyAlignment="1">
      <alignment horizontal="left" vertical="center" wrapText="1"/>
    </xf>
    <xf numFmtId="0" fontId="56" fillId="22" borderId="3" xfId="0" applyFont="1" applyFill="1" applyBorder="1" applyAlignment="1">
      <alignment horizontal="left" vertical="center" wrapText="1"/>
    </xf>
    <xf numFmtId="0" fontId="56" fillId="22" borderId="4" xfId="0" applyFont="1" applyFill="1" applyBorder="1" applyAlignment="1">
      <alignment horizontal="left" vertical="center" wrapText="1"/>
    </xf>
    <xf numFmtId="0" fontId="27" fillId="13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7" fillId="13" borderId="1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29" fillId="9" borderId="2" xfId="0" applyFont="1" applyFill="1" applyBorder="1" applyAlignment="1">
      <alignment horizontal="center"/>
    </xf>
    <xf numFmtId="0" fontId="26" fillId="9" borderId="3" xfId="0" applyFont="1" applyFill="1" applyBorder="1" applyAlignment="1">
      <alignment horizontal="center"/>
    </xf>
    <xf numFmtId="0" fontId="26" fillId="9" borderId="4" xfId="0" applyFont="1" applyFill="1" applyBorder="1" applyAlignment="1">
      <alignment horizontal="center"/>
    </xf>
    <xf numFmtId="0" fontId="29" fillId="9" borderId="2" xfId="0" applyFont="1" applyFill="1" applyBorder="1" applyAlignment="1">
      <alignment horizontal="center" vertical="center" wrapText="1"/>
    </xf>
    <xf numFmtId="0" fontId="29" fillId="9" borderId="3" xfId="0" applyFont="1" applyFill="1" applyBorder="1" applyAlignment="1">
      <alignment horizontal="center" vertical="center" wrapText="1"/>
    </xf>
    <xf numFmtId="0" fontId="29" fillId="9" borderId="4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left" wrapText="1"/>
    </xf>
    <xf numFmtId="0" fontId="29" fillId="9" borderId="3" xfId="0" applyFont="1" applyFill="1" applyBorder="1" applyAlignment="1">
      <alignment horizontal="left" wrapText="1"/>
    </xf>
    <xf numFmtId="0" fontId="29" fillId="9" borderId="2" xfId="0" applyFont="1" applyFill="1" applyBorder="1" applyAlignment="1">
      <alignment horizontal="center" wrapText="1"/>
    </xf>
    <xf numFmtId="0" fontId="29" fillId="9" borderId="3" xfId="0" applyFont="1" applyFill="1" applyBorder="1" applyAlignment="1">
      <alignment horizontal="center" wrapText="1"/>
    </xf>
    <xf numFmtId="0" fontId="29" fillId="9" borderId="4" xfId="0" applyFont="1" applyFill="1" applyBorder="1" applyAlignment="1">
      <alignment horizontal="center" wrapText="1"/>
    </xf>
    <xf numFmtId="16" fontId="24" fillId="3" borderId="0" xfId="0" applyNumberFormat="1" applyFont="1" applyFill="1" applyAlignment="1">
      <alignment horizontal="left" vertical="center" wrapText="1"/>
    </xf>
    <xf numFmtId="0" fontId="52" fillId="22" borderId="2" xfId="0" applyFont="1" applyFill="1" applyBorder="1" applyAlignment="1">
      <alignment horizontal="left" vertical="center" wrapText="1"/>
    </xf>
    <xf numFmtId="0" fontId="53" fillId="22" borderId="3" xfId="0" applyFont="1" applyFill="1" applyBorder="1" applyAlignment="1">
      <alignment horizontal="left" vertical="center" wrapText="1"/>
    </xf>
    <xf numFmtId="0" fontId="53" fillId="22" borderId="4" xfId="0" applyFont="1" applyFill="1" applyBorder="1" applyAlignment="1">
      <alignment horizontal="left" vertical="center" wrapText="1"/>
    </xf>
    <xf numFmtId="0" fontId="21" fillId="10" borderId="2" xfId="0" applyFont="1" applyFill="1" applyBorder="1" applyAlignment="1">
      <alignment horizontal="center"/>
    </xf>
    <xf numFmtId="16" fontId="19" fillId="3" borderId="0" xfId="0" applyNumberFormat="1" applyFont="1" applyFill="1" applyAlignment="1">
      <alignment horizontal="left" vertical="center" wrapText="1"/>
    </xf>
    <xf numFmtId="0" fontId="19" fillId="0" borderId="0" xfId="0" applyFont="1"/>
    <xf numFmtId="0" fontId="49" fillId="22" borderId="2" xfId="0" applyFont="1" applyFill="1" applyBorder="1" applyAlignment="1">
      <alignment horizontal="left" vertical="center" wrapText="1"/>
    </xf>
    <xf numFmtId="0" fontId="49" fillId="22" borderId="3" xfId="0" applyFont="1" applyFill="1" applyBorder="1" applyAlignment="1">
      <alignment horizontal="left" vertical="center" wrapText="1"/>
    </xf>
    <xf numFmtId="0" fontId="49" fillId="22" borderId="4" xfId="0" applyFont="1" applyFill="1" applyBorder="1" applyAlignment="1">
      <alignment horizontal="left" vertical="center" wrapText="1"/>
    </xf>
    <xf numFmtId="0" fontId="50" fillId="22" borderId="2" xfId="0" applyFont="1" applyFill="1" applyBorder="1" applyAlignment="1">
      <alignment horizontal="left" vertical="center" wrapText="1"/>
    </xf>
    <xf numFmtId="0" fontId="50" fillId="22" borderId="3" xfId="0" applyFont="1" applyFill="1" applyBorder="1" applyAlignment="1">
      <alignment horizontal="left" vertical="center" wrapText="1"/>
    </xf>
    <xf numFmtId="0" fontId="50" fillId="22" borderId="4" xfId="0" applyFont="1" applyFill="1" applyBorder="1" applyAlignment="1">
      <alignment horizontal="left" vertical="center" wrapText="1"/>
    </xf>
    <xf numFmtId="0" fontId="21" fillId="10" borderId="2" xfId="0" applyFont="1" applyFill="1" applyBorder="1" applyAlignment="1">
      <alignment horizontal="center" vertical="center" wrapText="1"/>
    </xf>
    <xf numFmtId="0" fontId="21" fillId="10" borderId="3" xfId="0" applyFont="1" applyFill="1" applyBorder="1" applyAlignment="1">
      <alignment horizontal="center" vertical="center" wrapText="1"/>
    </xf>
    <xf numFmtId="0" fontId="21" fillId="10" borderId="4" xfId="0" applyFont="1" applyFill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left" wrapText="1"/>
    </xf>
    <xf numFmtId="0" fontId="21" fillId="10" borderId="3" xfId="0" applyFont="1" applyFill="1" applyBorder="1" applyAlignment="1">
      <alignment horizontal="left" wrapText="1"/>
    </xf>
    <xf numFmtId="0" fontId="21" fillId="10" borderId="2" xfId="0" applyFont="1" applyFill="1" applyBorder="1" applyAlignment="1">
      <alignment horizontal="center" wrapText="1"/>
    </xf>
    <xf numFmtId="0" fontId="21" fillId="10" borderId="3" xfId="0" applyFont="1" applyFill="1" applyBorder="1" applyAlignment="1">
      <alignment horizontal="center" wrapText="1"/>
    </xf>
    <xf numFmtId="0" fontId="21" fillId="10" borderId="4" xfId="0" applyFont="1" applyFill="1" applyBorder="1" applyAlignment="1">
      <alignment horizontal="center" wrapText="1"/>
    </xf>
    <xf numFmtId="0" fontId="45" fillId="3" borderId="2" xfId="0" applyFont="1" applyFill="1" applyBorder="1" applyAlignment="1">
      <alignment horizontal="center"/>
    </xf>
    <xf numFmtId="0" fontId="54" fillId="0" borderId="3" xfId="0" applyFont="1" applyBorder="1" applyAlignment="1">
      <alignment horizontal="center"/>
    </xf>
    <xf numFmtId="0" fontId="54" fillId="0" borderId="4" xfId="0" applyFont="1" applyBorder="1" applyAlignment="1">
      <alignment horizontal="center"/>
    </xf>
    <xf numFmtId="0" fontId="45" fillId="3" borderId="2" xfId="0" applyFont="1" applyFill="1" applyBorder="1" applyAlignment="1">
      <alignment horizontal="center" vertical="center" wrapText="1"/>
    </xf>
    <xf numFmtId="0" fontId="45" fillId="3" borderId="3" xfId="0" applyFont="1" applyFill="1" applyBorder="1" applyAlignment="1">
      <alignment horizontal="center" vertical="center" wrapText="1"/>
    </xf>
    <xf numFmtId="0" fontId="45" fillId="3" borderId="4" xfId="0" applyFont="1" applyFill="1" applyBorder="1" applyAlignment="1">
      <alignment horizontal="center" vertical="center" wrapText="1"/>
    </xf>
    <xf numFmtId="0" fontId="67" fillId="22" borderId="2" xfId="0" applyFont="1" applyFill="1" applyBorder="1" applyAlignment="1">
      <alignment horizontal="left" vertical="center" wrapText="1"/>
    </xf>
    <xf numFmtId="0" fontId="67" fillId="22" borderId="3" xfId="0" applyFont="1" applyFill="1" applyBorder="1" applyAlignment="1">
      <alignment horizontal="left" vertical="center" wrapText="1"/>
    </xf>
    <xf numFmtId="0" fontId="67" fillId="22" borderId="4" xfId="0" applyFont="1" applyFill="1" applyBorder="1" applyAlignment="1">
      <alignment horizontal="left" vertical="center" wrapText="1"/>
    </xf>
    <xf numFmtId="0" fontId="45" fillId="3" borderId="2" xfId="0" applyFont="1" applyFill="1" applyBorder="1" applyAlignment="1">
      <alignment horizontal="left" wrapText="1"/>
    </xf>
    <xf numFmtId="0" fontId="45" fillId="3" borderId="3" xfId="0" applyFont="1" applyFill="1" applyBorder="1" applyAlignment="1">
      <alignment horizontal="left" wrapText="1"/>
    </xf>
    <xf numFmtId="0" fontId="45" fillId="3" borderId="2" xfId="0" applyFont="1" applyFill="1" applyBorder="1" applyAlignment="1">
      <alignment horizontal="center" wrapText="1"/>
    </xf>
    <xf numFmtId="0" fontId="45" fillId="3" borderId="3" xfId="0" applyFont="1" applyFill="1" applyBorder="1" applyAlignment="1">
      <alignment horizontal="center" wrapText="1"/>
    </xf>
    <xf numFmtId="0" fontId="45" fillId="3" borderId="4" xfId="0" applyFont="1" applyFill="1" applyBorder="1" applyAlignment="1">
      <alignment horizontal="center" wrapText="1"/>
    </xf>
    <xf numFmtId="0" fontId="21" fillId="11" borderId="2" xfId="0" applyFont="1" applyFill="1" applyBorder="1" applyAlignment="1">
      <alignment horizontal="center"/>
    </xf>
    <xf numFmtId="0" fontId="21" fillId="11" borderId="2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 vertical="center" wrapText="1"/>
    </xf>
    <xf numFmtId="0" fontId="21" fillId="11" borderId="3" xfId="0" applyFont="1" applyFill="1" applyBorder="1" applyAlignment="1">
      <alignment horizontal="center" vertical="center" wrapText="1"/>
    </xf>
    <xf numFmtId="0" fontId="21" fillId="11" borderId="2" xfId="0" applyFont="1" applyFill="1" applyBorder="1" applyAlignment="1">
      <alignment horizontal="left" wrapText="1"/>
    </xf>
    <xf numFmtId="0" fontId="21" fillId="11" borderId="3" xfId="0" applyFont="1" applyFill="1" applyBorder="1" applyAlignment="1">
      <alignment horizontal="left" wrapText="1"/>
    </xf>
    <xf numFmtId="0" fontId="21" fillId="11" borderId="2" xfId="0" applyFont="1" applyFill="1" applyBorder="1" applyAlignment="1">
      <alignment horizontal="center" wrapText="1"/>
    </xf>
    <xf numFmtId="0" fontId="21" fillId="11" borderId="3" xfId="0" applyFont="1" applyFill="1" applyBorder="1" applyAlignment="1">
      <alignment horizontal="center" wrapText="1"/>
    </xf>
    <xf numFmtId="0" fontId="21" fillId="11" borderId="4" xfId="0" applyFont="1" applyFill="1" applyBorder="1" applyAlignment="1">
      <alignment horizontal="center" wrapText="1"/>
    </xf>
    <xf numFmtId="16" fontId="23" fillId="3" borderId="0" xfId="0" applyNumberFormat="1" applyFont="1" applyFill="1" applyAlignment="1">
      <alignment horizontal="left" vertical="center" wrapText="1"/>
    </xf>
    <xf numFmtId="0" fontId="20" fillId="0" borderId="0" xfId="0" applyFont="1"/>
    <xf numFmtId="0" fontId="52" fillId="22" borderId="3" xfId="0" applyFont="1" applyFill="1" applyBorder="1" applyAlignment="1">
      <alignment horizontal="left" vertical="center" wrapText="1"/>
    </xf>
    <xf numFmtId="0" fontId="52" fillId="22" borderId="4" xfId="0" applyFont="1" applyFill="1" applyBorder="1" applyAlignment="1">
      <alignment horizontal="left" vertical="center" wrapText="1"/>
    </xf>
    <xf numFmtId="0" fontId="68" fillId="22" borderId="3" xfId="0" applyFont="1" applyFill="1" applyBorder="1" applyAlignment="1">
      <alignment horizontal="left" vertical="center" wrapText="1"/>
    </xf>
    <xf numFmtId="0" fontId="68" fillId="22" borderId="4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wrapText="1"/>
    </xf>
    <xf numFmtId="0" fontId="20" fillId="3" borderId="4" xfId="0" applyFont="1" applyFill="1" applyBorder="1" applyAlignment="1">
      <alignment horizontal="center" wrapText="1"/>
    </xf>
    <xf numFmtId="0" fontId="20" fillId="3" borderId="2" xfId="0" applyFont="1" applyFill="1" applyBorder="1" applyAlignment="1">
      <alignment horizontal="left" wrapText="1"/>
    </xf>
    <xf numFmtId="0" fontId="20" fillId="3" borderId="3" xfId="0" applyFont="1" applyFill="1" applyBorder="1" applyAlignment="1">
      <alignment horizontal="left" wrapText="1"/>
    </xf>
    <xf numFmtId="0" fontId="20" fillId="3" borderId="3" xfId="0" applyFont="1" applyFill="1" applyBorder="1" applyAlignment="1">
      <alignment horizontal="center" wrapText="1"/>
    </xf>
    <xf numFmtId="0" fontId="27" fillId="27" borderId="2" xfId="0" applyFont="1" applyFill="1" applyBorder="1" applyAlignment="1">
      <alignment horizontal="center"/>
    </xf>
    <xf numFmtId="0" fontId="28" fillId="27" borderId="3" xfId="0" applyFont="1" applyFill="1" applyBorder="1" applyAlignment="1">
      <alignment horizontal="center"/>
    </xf>
    <xf numFmtId="0" fontId="28" fillId="27" borderId="4" xfId="0" applyFont="1" applyFill="1" applyBorder="1" applyAlignment="1">
      <alignment horizontal="center"/>
    </xf>
    <xf numFmtId="0" fontId="27" fillId="27" borderId="2" xfId="0" applyFont="1" applyFill="1" applyBorder="1" applyAlignment="1">
      <alignment horizontal="center" vertical="center" wrapText="1"/>
    </xf>
    <xf numFmtId="0" fontId="27" fillId="27" borderId="4" xfId="0" applyFont="1" applyFill="1" applyBorder="1" applyAlignment="1">
      <alignment horizontal="center" vertical="center" wrapText="1"/>
    </xf>
    <xf numFmtId="0" fontId="27" fillId="27" borderId="3" xfId="0" applyFont="1" applyFill="1" applyBorder="1" applyAlignment="1">
      <alignment horizontal="center" vertical="center" wrapText="1"/>
    </xf>
    <xf numFmtId="0" fontId="27" fillId="27" borderId="2" xfId="0" applyFont="1" applyFill="1" applyBorder="1" applyAlignment="1">
      <alignment horizontal="left" wrapText="1"/>
    </xf>
    <xf numFmtId="0" fontId="27" fillId="27" borderId="3" xfId="0" applyFont="1" applyFill="1" applyBorder="1" applyAlignment="1">
      <alignment horizontal="left" wrapText="1"/>
    </xf>
    <xf numFmtId="0" fontId="27" fillId="27" borderId="2" xfId="0" applyFont="1" applyFill="1" applyBorder="1" applyAlignment="1">
      <alignment horizontal="center" wrapText="1"/>
    </xf>
    <xf numFmtId="0" fontId="27" fillId="27" borderId="3" xfId="0" applyFont="1" applyFill="1" applyBorder="1" applyAlignment="1">
      <alignment horizontal="center" wrapText="1"/>
    </xf>
    <xf numFmtId="0" fontId="27" fillId="27" borderId="4" xfId="0" applyFont="1" applyFill="1" applyBorder="1" applyAlignment="1">
      <alignment horizontal="center" wrapText="1"/>
    </xf>
    <xf numFmtId="0" fontId="68" fillId="0" borderId="3" xfId="0" applyFont="1" applyBorder="1" applyAlignment="1">
      <alignment horizontal="left" vertical="center" wrapText="1"/>
    </xf>
    <xf numFmtId="0" fontId="68" fillId="0" borderId="4" xfId="0" applyFont="1" applyBorder="1" applyAlignment="1">
      <alignment horizontal="left" vertical="center" wrapText="1"/>
    </xf>
    <xf numFmtId="0" fontId="27" fillId="7" borderId="2" xfId="0" applyFont="1" applyFill="1" applyBorder="1" applyAlignment="1">
      <alignment horizontal="center"/>
    </xf>
    <xf numFmtId="0" fontId="27" fillId="7" borderId="2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left" wrapText="1"/>
    </xf>
    <xf numFmtId="0" fontId="27" fillId="7" borderId="3" xfId="0" applyFont="1" applyFill="1" applyBorder="1" applyAlignment="1">
      <alignment horizontal="left" wrapText="1"/>
    </xf>
    <xf numFmtId="0" fontId="27" fillId="7" borderId="2" xfId="0" applyFont="1" applyFill="1" applyBorder="1" applyAlignment="1">
      <alignment horizontal="center" wrapText="1"/>
    </xf>
    <xf numFmtId="0" fontId="27" fillId="7" borderId="3" xfId="0" applyFont="1" applyFill="1" applyBorder="1" applyAlignment="1">
      <alignment horizontal="center" wrapText="1"/>
    </xf>
    <xf numFmtId="0" fontId="27" fillId="7" borderId="4" xfId="0" applyFont="1" applyFill="1" applyBorder="1" applyAlignment="1">
      <alignment horizontal="center" wrapText="1"/>
    </xf>
    <xf numFmtId="0" fontId="27" fillId="14" borderId="2" xfId="0" applyFont="1" applyFill="1" applyBorder="1" applyAlignment="1">
      <alignment horizontal="center"/>
    </xf>
    <xf numFmtId="0" fontId="28" fillId="14" borderId="3" xfId="0" applyFont="1" applyFill="1" applyBorder="1" applyAlignment="1">
      <alignment horizontal="center"/>
    </xf>
    <xf numFmtId="0" fontId="28" fillId="14" borderId="4" xfId="0" applyFont="1" applyFill="1" applyBorder="1" applyAlignment="1">
      <alignment horizontal="center"/>
    </xf>
    <xf numFmtId="0" fontId="27" fillId="14" borderId="2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 wrapText="1"/>
    </xf>
    <xf numFmtId="0" fontId="27" fillId="14" borderId="4" xfId="0" applyFont="1" applyFill="1" applyBorder="1" applyAlignment="1">
      <alignment horizontal="center" vertical="center" wrapText="1"/>
    </xf>
    <xf numFmtId="0" fontId="27" fillId="14" borderId="2" xfId="0" applyFont="1" applyFill="1" applyBorder="1" applyAlignment="1">
      <alignment horizontal="left" wrapText="1"/>
    </xf>
    <xf numFmtId="0" fontId="27" fillId="14" borderId="3" xfId="0" applyFont="1" applyFill="1" applyBorder="1" applyAlignment="1">
      <alignment horizontal="left" wrapText="1"/>
    </xf>
    <xf numFmtId="0" fontId="27" fillId="14" borderId="2" xfId="0" applyFont="1" applyFill="1" applyBorder="1" applyAlignment="1">
      <alignment horizontal="center" wrapText="1"/>
    </xf>
    <xf numFmtId="0" fontId="27" fillId="14" borderId="3" xfId="0" applyFont="1" applyFill="1" applyBorder="1" applyAlignment="1">
      <alignment horizontal="center" wrapText="1"/>
    </xf>
    <xf numFmtId="0" fontId="27" fillId="14" borderId="4" xfId="0" applyFont="1" applyFill="1" applyBorder="1" applyAlignment="1">
      <alignment horizontal="center" wrapText="1"/>
    </xf>
    <xf numFmtId="0" fontId="21" fillId="5" borderId="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left" wrapText="1"/>
    </xf>
    <xf numFmtId="0" fontId="21" fillId="5" borderId="3" xfId="0" applyFont="1" applyFill="1" applyBorder="1" applyAlignment="1">
      <alignment horizontal="left" wrapText="1"/>
    </xf>
    <xf numFmtId="0" fontId="21" fillId="5" borderId="2" xfId="0" applyFont="1" applyFill="1" applyBorder="1" applyAlignment="1">
      <alignment horizontal="center" wrapText="1"/>
    </xf>
    <xf numFmtId="0" fontId="21" fillId="5" borderId="3" xfId="0" applyFont="1" applyFill="1" applyBorder="1" applyAlignment="1">
      <alignment horizontal="center" wrapText="1"/>
    </xf>
    <xf numFmtId="0" fontId="21" fillId="5" borderId="4" xfId="0" applyFont="1" applyFill="1" applyBorder="1" applyAlignment="1">
      <alignment horizontal="center" wrapText="1"/>
    </xf>
    <xf numFmtId="0" fontId="50" fillId="23" borderId="2" xfId="0" applyFont="1" applyFill="1" applyBorder="1" applyAlignment="1">
      <alignment horizontal="left" vertical="center" wrapText="1"/>
    </xf>
    <xf numFmtId="0" fontId="50" fillId="23" borderId="3" xfId="0" applyFont="1" applyFill="1" applyBorder="1" applyAlignment="1">
      <alignment horizontal="left" vertical="center" wrapText="1"/>
    </xf>
    <xf numFmtId="0" fontId="50" fillId="23" borderId="4" xfId="0" applyFont="1" applyFill="1" applyBorder="1" applyAlignment="1">
      <alignment horizontal="left" vertical="center" wrapText="1"/>
    </xf>
    <xf numFmtId="0" fontId="45" fillId="23" borderId="2" xfId="0" applyFont="1" applyFill="1" applyBorder="1" applyAlignment="1">
      <alignment horizontal="left" vertical="center" wrapText="1"/>
    </xf>
    <xf numFmtId="0" fontId="45" fillId="23" borderId="3" xfId="0" applyFont="1" applyFill="1" applyBorder="1" applyAlignment="1">
      <alignment horizontal="left" vertical="center" wrapText="1"/>
    </xf>
    <xf numFmtId="0" fontId="45" fillId="23" borderId="4" xfId="0" applyFont="1" applyFill="1" applyBorder="1" applyAlignment="1">
      <alignment horizontal="left" vertical="center" wrapText="1"/>
    </xf>
    <xf numFmtId="16" fontId="21" fillId="3" borderId="0" xfId="0" applyNumberFormat="1" applyFont="1" applyFill="1" applyAlignment="1">
      <alignment horizontal="left" vertical="center" wrapText="1"/>
    </xf>
    <xf numFmtId="0" fontId="21" fillId="0" borderId="0" xfId="0" applyFont="1"/>
    <xf numFmtId="0" fontId="47" fillId="11" borderId="2" xfId="0" applyFont="1" applyFill="1" applyBorder="1" applyAlignment="1">
      <alignment horizontal="center"/>
    </xf>
    <xf numFmtId="0" fontId="64" fillId="22" borderId="2" xfId="0" applyFont="1" applyFill="1" applyBorder="1" applyAlignment="1">
      <alignment horizontal="left" vertical="center" wrapText="1"/>
    </xf>
    <xf numFmtId="0" fontId="64" fillId="22" borderId="3" xfId="0" applyFont="1" applyFill="1" applyBorder="1" applyAlignment="1">
      <alignment horizontal="left" vertical="center" wrapText="1"/>
    </xf>
    <xf numFmtId="0" fontId="64" fillId="22" borderId="4" xfId="0" applyFont="1" applyFill="1" applyBorder="1" applyAlignment="1">
      <alignment horizontal="left" vertical="center" wrapText="1"/>
    </xf>
    <xf numFmtId="0" fontId="47" fillId="11" borderId="2" xfId="0" applyFont="1" applyFill="1" applyBorder="1" applyAlignment="1">
      <alignment horizontal="center" vertical="center" wrapText="1"/>
    </xf>
    <xf numFmtId="0" fontId="47" fillId="11" borderId="3" xfId="0" applyFont="1" applyFill="1" applyBorder="1" applyAlignment="1">
      <alignment horizontal="center" vertical="center" wrapText="1"/>
    </xf>
    <xf numFmtId="0" fontId="47" fillId="11" borderId="4" xfId="0" applyFont="1" applyFill="1" applyBorder="1" applyAlignment="1">
      <alignment horizontal="center" vertical="center" wrapText="1"/>
    </xf>
    <xf numFmtId="0" fontId="47" fillId="11" borderId="2" xfId="0" applyFont="1" applyFill="1" applyBorder="1" applyAlignment="1">
      <alignment horizontal="left" wrapText="1"/>
    </xf>
    <xf numFmtId="0" fontId="47" fillId="11" borderId="3" xfId="0" applyFont="1" applyFill="1" applyBorder="1" applyAlignment="1">
      <alignment horizontal="left" wrapText="1"/>
    </xf>
    <xf numFmtId="0" fontId="47" fillId="11" borderId="2" xfId="0" applyFont="1" applyFill="1" applyBorder="1" applyAlignment="1">
      <alignment horizontal="center" wrapText="1"/>
    </xf>
    <xf numFmtId="0" fontId="47" fillId="11" borderId="3" xfId="0" applyFont="1" applyFill="1" applyBorder="1" applyAlignment="1">
      <alignment horizontal="center" wrapText="1"/>
    </xf>
    <xf numFmtId="0" fontId="47" fillId="11" borderId="4" xfId="0" applyFont="1" applyFill="1" applyBorder="1" applyAlignment="1">
      <alignment horizontal="center" wrapText="1"/>
    </xf>
    <xf numFmtId="0" fontId="37" fillId="6" borderId="16" xfId="0" applyFont="1" applyFill="1" applyBorder="1" applyAlignment="1">
      <alignment horizontal="center"/>
    </xf>
    <xf numFmtId="0" fontId="35" fillId="6" borderId="2" xfId="0" applyFont="1" applyFill="1" applyBorder="1" applyAlignment="1">
      <alignment horizontal="center" vertical="center" wrapText="1"/>
    </xf>
    <xf numFmtId="0" fontId="35" fillId="6" borderId="4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center" wrapText="1"/>
    </xf>
    <xf numFmtId="0" fontId="35" fillId="6" borderId="2" xfId="0" applyFont="1" applyFill="1" applyBorder="1" applyAlignment="1">
      <alignment horizontal="left" wrapText="1"/>
    </xf>
    <xf numFmtId="0" fontId="35" fillId="6" borderId="3" xfId="0" applyFont="1" applyFill="1" applyBorder="1" applyAlignment="1">
      <alignment horizontal="left" wrapText="1"/>
    </xf>
    <xf numFmtId="0" fontId="35" fillId="6" borderId="2" xfId="0" applyFont="1" applyFill="1" applyBorder="1" applyAlignment="1">
      <alignment horizontal="center" wrapText="1"/>
    </xf>
    <xf numFmtId="0" fontId="35" fillId="6" borderId="3" xfId="0" applyFont="1" applyFill="1" applyBorder="1" applyAlignment="1">
      <alignment horizontal="center" wrapText="1"/>
    </xf>
    <xf numFmtId="0" fontId="35" fillId="6" borderId="4" xfId="0" applyFont="1" applyFill="1" applyBorder="1" applyAlignment="1">
      <alignment horizont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left" wrapText="1"/>
    </xf>
    <xf numFmtId="0" fontId="31" fillId="2" borderId="3" xfId="0" applyFont="1" applyFill="1" applyBorder="1" applyAlignment="1">
      <alignment horizontal="left" wrapText="1"/>
    </xf>
    <xf numFmtId="0" fontId="31" fillId="2" borderId="2" xfId="0" applyFont="1" applyFill="1" applyBorder="1" applyAlignment="1">
      <alignment horizontal="center" wrapText="1"/>
    </xf>
    <xf numFmtId="0" fontId="31" fillId="2" borderId="3" xfId="0" applyFont="1" applyFill="1" applyBorder="1" applyAlignment="1">
      <alignment horizontal="center" wrapText="1"/>
    </xf>
    <xf numFmtId="0" fontId="31" fillId="2" borderId="4" xfId="0" applyFont="1" applyFill="1" applyBorder="1" applyAlignment="1">
      <alignment horizontal="center" wrapText="1"/>
    </xf>
    <xf numFmtId="0" fontId="31" fillId="2" borderId="2" xfId="0" applyFont="1" applyFill="1" applyBorder="1" applyAlignment="1">
      <alignment horizontal="center"/>
    </xf>
    <xf numFmtId="0" fontId="62" fillId="4" borderId="2" xfId="0" applyFont="1" applyFill="1" applyBorder="1" applyAlignment="1">
      <alignment horizontal="center"/>
    </xf>
    <xf numFmtId="0" fontId="62" fillId="4" borderId="2" xfId="0" applyFont="1" applyFill="1" applyBorder="1" applyAlignment="1">
      <alignment horizontal="center" vertical="center" wrapText="1"/>
    </xf>
    <xf numFmtId="0" fontId="62" fillId="4" borderId="3" xfId="0" applyFont="1" applyFill="1" applyBorder="1" applyAlignment="1">
      <alignment horizontal="center" vertical="center" wrapText="1"/>
    </xf>
    <xf numFmtId="0" fontId="62" fillId="4" borderId="4" xfId="0" applyFont="1" applyFill="1" applyBorder="1" applyAlignment="1">
      <alignment horizontal="center" vertical="center" wrapText="1"/>
    </xf>
    <xf numFmtId="0" fontId="62" fillId="4" borderId="2" xfId="0" applyFont="1" applyFill="1" applyBorder="1" applyAlignment="1">
      <alignment horizontal="left" wrapText="1"/>
    </xf>
    <xf numFmtId="0" fontId="62" fillId="4" borderId="3" xfId="0" applyFont="1" applyFill="1" applyBorder="1" applyAlignment="1">
      <alignment horizontal="left" wrapText="1"/>
    </xf>
    <xf numFmtId="0" fontId="62" fillId="4" borderId="2" xfId="0" applyFont="1" applyFill="1" applyBorder="1" applyAlignment="1">
      <alignment horizontal="center" wrapText="1"/>
    </xf>
    <xf numFmtId="0" fontId="62" fillId="4" borderId="3" xfId="0" applyFont="1" applyFill="1" applyBorder="1" applyAlignment="1">
      <alignment horizontal="center" wrapText="1"/>
    </xf>
    <xf numFmtId="0" fontId="62" fillId="4" borderId="4" xfId="0" applyFont="1" applyFill="1" applyBorder="1" applyAlignment="1">
      <alignment horizontal="center" wrapText="1"/>
    </xf>
    <xf numFmtId="0" fontId="33" fillId="14" borderId="2" xfId="0" applyFont="1" applyFill="1" applyBorder="1" applyAlignment="1">
      <alignment horizontal="center"/>
    </xf>
    <xf numFmtId="0" fontId="33" fillId="14" borderId="2" xfId="0" applyFont="1" applyFill="1" applyBorder="1" applyAlignment="1">
      <alignment horizontal="center" vertical="center" wrapText="1"/>
    </xf>
    <xf numFmtId="0" fontId="33" fillId="14" borderId="3" xfId="0" applyFont="1" applyFill="1" applyBorder="1" applyAlignment="1">
      <alignment horizontal="center" vertical="center" wrapText="1"/>
    </xf>
    <xf numFmtId="0" fontId="33" fillId="14" borderId="4" xfId="0" applyFont="1" applyFill="1" applyBorder="1" applyAlignment="1">
      <alignment horizontal="center" vertical="center" wrapText="1"/>
    </xf>
    <xf numFmtId="0" fontId="33" fillId="14" borderId="2" xfId="0" applyFont="1" applyFill="1" applyBorder="1" applyAlignment="1">
      <alignment horizontal="left" wrapText="1"/>
    </xf>
    <xf numFmtId="0" fontId="33" fillId="14" borderId="3" xfId="0" applyFont="1" applyFill="1" applyBorder="1" applyAlignment="1">
      <alignment horizontal="left" wrapText="1"/>
    </xf>
    <xf numFmtId="0" fontId="33" fillId="14" borderId="2" xfId="0" applyFont="1" applyFill="1" applyBorder="1" applyAlignment="1">
      <alignment horizontal="center" wrapText="1"/>
    </xf>
    <xf numFmtId="0" fontId="33" fillId="14" borderId="3" xfId="0" applyFont="1" applyFill="1" applyBorder="1" applyAlignment="1">
      <alignment horizontal="center" wrapText="1"/>
    </xf>
    <xf numFmtId="0" fontId="33" fillId="14" borderId="4" xfId="0" applyFont="1" applyFill="1" applyBorder="1" applyAlignment="1">
      <alignment horizontal="center" wrapText="1"/>
    </xf>
    <xf numFmtId="0" fontId="27" fillId="11" borderId="2" xfId="0" applyFont="1" applyFill="1" applyBorder="1" applyAlignment="1">
      <alignment horizontal="center"/>
    </xf>
    <xf numFmtId="0" fontId="27" fillId="11" borderId="2" xfId="0" applyFont="1" applyFill="1" applyBorder="1" applyAlignment="1">
      <alignment horizontal="center" vertical="center" wrapText="1"/>
    </xf>
    <xf numFmtId="0" fontId="27" fillId="11" borderId="3" xfId="0" applyFont="1" applyFill="1" applyBorder="1" applyAlignment="1">
      <alignment horizontal="center" vertical="center" wrapText="1"/>
    </xf>
    <xf numFmtId="0" fontId="27" fillId="11" borderId="4" xfId="0" applyFont="1" applyFill="1" applyBorder="1" applyAlignment="1">
      <alignment horizontal="center" vertical="center" wrapText="1"/>
    </xf>
    <xf numFmtId="0" fontId="27" fillId="11" borderId="2" xfId="0" applyFont="1" applyFill="1" applyBorder="1" applyAlignment="1">
      <alignment horizontal="center" wrapText="1"/>
    </xf>
    <xf numFmtId="0" fontId="27" fillId="11" borderId="4" xfId="0" applyFont="1" applyFill="1" applyBorder="1" applyAlignment="1">
      <alignment horizontal="center" wrapText="1"/>
    </xf>
    <xf numFmtId="0" fontId="27" fillId="11" borderId="2" xfId="0" applyFont="1" applyFill="1" applyBorder="1" applyAlignment="1">
      <alignment horizontal="left" wrapText="1"/>
    </xf>
    <xf numFmtId="0" fontId="27" fillId="11" borderId="3" xfId="0" applyFont="1" applyFill="1" applyBorder="1" applyAlignment="1">
      <alignment horizontal="left" wrapText="1"/>
    </xf>
    <xf numFmtId="0" fontId="27" fillId="11" borderId="3" xfId="0" applyFont="1" applyFill="1" applyBorder="1" applyAlignment="1">
      <alignment horizontal="center" wrapText="1"/>
    </xf>
    <xf numFmtId="0" fontId="27" fillId="12" borderId="2" xfId="0" applyFont="1" applyFill="1" applyBorder="1" applyAlignment="1">
      <alignment horizontal="left" wrapText="1"/>
    </xf>
    <xf numFmtId="0" fontId="27" fillId="12" borderId="3" xfId="0" applyFont="1" applyFill="1" applyBorder="1" applyAlignment="1">
      <alignment horizontal="left" wrapText="1"/>
    </xf>
    <xf numFmtId="0" fontId="27" fillId="12" borderId="2" xfId="0" applyFont="1" applyFill="1" applyBorder="1" applyAlignment="1">
      <alignment horizontal="center" wrapText="1"/>
    </xf>
    <xf numFmtId="0" fontId="27" fillId="12" borderId="3" xfId="0" applyFont="1" applyFill="1" applyBorder="1" applyAlignment="1">
      <alignment horizontal="center" wrapText="1"/>
    </xf>
    <xf numFmtId="0" fontId="27" fillId="12" borderId="4" xfId="0" applyFont="1" applyFill="1" applyBorder="1" applyAlignment="1">
      <alignment horizontal="center" wrapText="1"/>
    </xf>
    <xf numFmtId="0" fontId="27" fillId="12" borderId="2" xfId="0" applyFont="1" applyFill="1" applyBorder="1" applyAlignment="1">
      <alignment horizontal="center" vertical="center" wrapText="1"/>
    </xf>
    <xf numFmtId="0" fontId="27" fillId="12" borderId="3" xfId="0" applyFont="1" applyFill="1" applyBorder="1" applyAlignment="1">
      <alignment horizontal="center" vertical="center" wrapText="1"/>
    </xf>
    <xf numFmtId="0" fontId="27" fillId="12" borderId="4" xfId="0" applyFont="1" applyFill="1" applyBorder="1" applyAlignment="1">
      <alignment horizontal="center" vertical="center" wrapText="1"/>
    </xf>
    <xf numFmtId="0" fontId="27" fillId="12" borderId="2" xfId="0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left" wrapText="1"/>
    </xf>
    <xf numFmtId="0" fontId="27" fillId="4" borderId="3" xfId="0" applyFont="1" applyFill="1" applyBorder="1" applyAlignment="1">
      <alignment horizontal="left" wrapText="1"/>
    </xf>
    <xf numFmtId="0" fontId="27" fillId="4" borderId="2" xfId="0" applyFont="1" applyFill="1" applyBorder="1" applyAlignment="1">
      <alignment horizontal="center" wrapText="1"/>
    </xf>
    <xf numFmtId="0" fontId="27" fillId="4" borderId="3" xfId="0" applyFont="1" applyFill="1" applyBorder="1" applyAlignment="1">
      <alignment horizontal="center" wrapText="1"/>
    </xf>
    <xf numFmtId="0" fontId="27" fillId="4" borderId="4" xfId="0" applyFont="1" applyFill="1" applyBorder="1" applyAlignment="1">
      <alignment horizontal="center" wrapText="1"/>
    </xf>
    <xf numFmtId="0" fontId="27" fillId="4" borderId="2" xfId="0" applyFont="1" applyFill="1" applyBorder="1" applyAlignment="1">
      <alignment horizontal="center"/>
    </xf>
    <xf numFmtId="0" fontId="28" fillId="4" borderId="3" xfId="0" applyFont="1" applyFill="1" applyBorder="1" applyAlignment="1">
      <alignment horizontal="center"/>
    </xf>
    <xf numFmtId="0" fontId="28" fillId="4" borderId="4" xfId="0" applyFont="1" applyFill="1" applyBorder="1" applyAlignment="1">
      <alignment horizontal="center"/>
    </xf>
    <xf numFmtId="0" fontId="50" fillId="22" borderId="10" xfId="0" applyFont="1" applyFill="1" applyBorder="1" applyAlignment="1">
      <alignment horizontal="left" vertical="center" wrapText="1"/>
    </xf>
    <xf numFmtId="0" fontId="50" fillId="22" borderId="16" xfId="0" applyFont="1" applyFill="1" applyBorder="1" applyAlignment="1">
      <alignment horizontal="left" vertical="center" wrapText="1"/>
    </xf>
    <xf numFmtId="0" fontId="50" fillId="22" borderId="6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center"/>
    </xf>
    <xf numFmtId="0" fontId="32" fillId="4" borderId="16" xfId="0" applyFont="1" applyFill="1" applyBorder="1" applyAlignment="1">
      <alignment horizont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left" wrapText="1"/>
    </xf>
    <xf numFmtId="0" fontId="32" fillId="4" borderId="3" xfId="0" applyFont="1" applyFill="1" applyBorder="1" applyAlignment="1">
      <alignment horizontal="left" wrapText="1"/>
    </xf>
    <xf numFmtId="0" fontId="32" fillId="4" borderId="2" xfId="0" applyFont="1" applyFill="1" applyBorder="1" applyAlignment="1">
      <alignment horizontal="center" wrapText="1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 wrapText="1"/>
    </xf>
    <xf numFmtId="0" fontId="23" fillId="13" borderId="2" xfId="0" applyFont="1" applyFill="1" applyBorder="1" applyAlignment="1">
      <alignment horizontal="left" wrapText="1"/>
    </xf>
    <xf numFmtId="0" fontId="23" fillId="13" borderId="3" xfId="0" applyFont="1" applyFill="1" applyBorder="1" applyAlignment="1">
      <alignment horizontal="left" wrapText="1"/>
    </xf>
    <xf numFmtId="0" fontId="23" fillId="13" borderId="2" xfId="0" applyFont="1" applyFill="1" applyBorder="1" applyAlignment="1">
      <alignment horizontal="center" wrapText="1"/>
    </xf>
    <xf numFmtId="0" fontId="23" fillId="13" borderId="3" xfId="0" applyFont="1" applyFill="1" applyBorder="1" applyAlignment="1">
      <alignment horizontal="center" wrapText="1"/>
    </xf>
    <xf numFmtId="0" fontId="23" fillId="13" borderId="4" xfId="0" applyFont="1" applyFill="1" applyBorder="1" applyAlignment="1">
      <alignment horizontal="center" wrapText="1"/>
    </xf>
    <xf numFmtId="0" fontId="23" fillId="13" borderId="2" xfId="0" applyFont="1" applyFill="1" applyBorder="1" applyAlignment="1">
      <alignment horizontal="center" vertical="center" wrapText="1"/>
    </xf>
    <xf numFmtId="0" fontId="23" fillId="13" borderId="3" xfId="0" applyFont="1" applyFill="1" applyBorder="1" applyAlignment="1">
      <alignment horizontal="center" vertical="center" wrapText="1"/>
    </xf>
    <xf numFmtId="0" fontId="23" fillId="13" borderId="4" xfId="0" applyFont="1" applyFill="1" applyBorder="1" applyAlignment="1">
      <alignment horizontal="center" vertical="center" wrapText="1"/>
    </xf>
    <xf numFmtId="0" fontId="23" fillId="1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03A7C"/>
      <color rgb="FFF2F2F2"/>
      <color rgb="FFFFCC00"/>
      <color rgb="FF000000"/>
      <color rgb="FFCC3399"/>
      <color rgb="FF990099"/>
      <color rgb="FFFF3300"/>
      <color rgb="FFB43634"/>
      <color rgb="FFFF4B2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%20Hill/Documents/BT%20PREMIERSHIP/Season%202018-19/Prem%2018-19%20Results%20&amp;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%20Hill/Documents/BT%20PREMIERSHIP/2016-17%20Season/Prem%20Club%20by%20Club%20Results%20&amp;%20Tables%202016-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T%20PREMIERSHIP/2015-16%20Season/Prem%20Club%20by%20Club%20Results%20&amp;%20Tables%202015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Yr-By-Yr"/>
      <sheetName val="18-19 Sum"/>
      <sheetName val="Cards"/>
      <sheetName val="Stats"/>
      <sheetName val="Form"/>
      <sheetName val="Table"/>
      <sheetName val="Results"/>
      <sheetName val="BTH"/>
      <sheetName val="BRI"/>
      <sheetName val="EXE"/>
      <sheetName val="GLO"/>
      <sheetName val="HAR"/>
      <sheetName val="LEIC"/>
      <sheetName val="NEW"/>
      <sheetName val="NOR"/>
      <sheetName val="SAL"/>
      <sheetName val="SAR"/>
      <sheetName val="WAS"/>
      <sheetName val="WOR"/>
    </sheetNames>
    <sheetDataSet>
      <sheetData sheetId="0">
        <row r="3">
          <cell r="B3">
            <v>494</v>
          </cell>
          <cell r="C3">
            <v>275</v>
          </cell>
          <cell r="D3">
            <v>212</v>
          </cell>
          <cell r="E3">
            <v>19</v>
          </cell>
          <cell r="G3">
            <v>11071</v>
          </cell>
          <cell r="H3">
            <v>9789</v>
          </cell>
          <cell r="J3">
            <v>1121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F37">
            <v>481</v>
          </cell>
          <cell r="G37">
            <v>480</v>
          </cell>
          <cell r="J37">
            <v>52</v>
          </cell>
          <cell r="L37">
            <v>2</v>
          </cell>
          <cell r="N37">
            <v>11</v>
          </cell>
          <cell r="O37">
            <v>1</v>
          </cell>
          <cell r="R37">
            <v>54</v>
          </cell>
          <cell r="Y37">
            <v>22</v>
          </cell>
          <cell r="AB37">
            <v>10</v>
          </cell>
        </row>
      </sheetData>
      <sheetData sheetId="9">
        <row r="36">
          <cell r="H36">
            <v>6</v>
          </cell>
          <cell r="L36">
            <v>0</v>
          </cell>
          <cell r="P36">
            <v>10</v>
          </cell>
        </row>
        <row r="38">
          <cell r="F38">
            <v>503</v>
          </cell>
          <cell r="G38">
            <v>580</v>
          </cell>
          <cell r="J38">
            <v>55</v>
          </cell>
          <cell r="L38">
            <v>0</v>
          </cell>
          <cell r="N38">
            <v>7</v>
          </cell>
          <cell r="O38">
            <v>1</v>
          </cell>
          <cell r="R38">
            <v>74</v>
          </cell>
          <cell r="Y38">
            <v>22</v>
          </cell>
          <cell r="Z38">
            <v>9</v>
          </cell>
          <cell r="AA38">
            <v>1</v>
          </cell>
          <cell r="AB38">
            <v>12</v>
          </cell>
        </row>
      </sheetData>
      <sheetData sheetId="10">
        <row r="37">
          <cell r="H37">
            <v>14</v>
          </cell>
          <cell r="P37">
            <v>6</v>
          </cell>
          <cell r="AA37">
            <v>0</v>
          </cell>
        </row>
        <row r="39">
          <cell r="F39">
            <v>706</v>
          </cell>
          <cell r="G39">
            <v>487</v>
          </cell>
          <cell r="J39">
            <v>100</v>
          </cell>
          <cell r="L39">
            <v>0</v>
          </cell>
          <cell r="N39">
            <v>8</v>
          </cell>
          <cell r="O39">
            <v>0</v>
          </cell>
          <cell r="R39">
            <v>58</v>
          </cell>
          <cell r="Y39">
            <v>24</v>
          </cell>
          <cell r="Z39">
            <v>18</v>
          </cell>
          <cell r="AB39">
            <v>6</v>
          </cell>
        </row>
      </sheetData>
      <sheetData sheetId="11">
        <row r="36">
          <cell r="H36">
            <v>10</v>
          </cell>
          <cell r="P36">
            <v>6</v>
          </cell>
        </row>
        <row r="38">
          <cell r="F38">
            <v>606</v>
          </cell>
          <cell r="G38">
            <v>559</v>
          </cell>
          <cell r="J38">
            <v>78</v>
          </cell>
          <cell r="L38">
            <v>0</v>
          </cell>
          <cell r="N38">
            <v>8</v>
          </cell>
          <cell r="O38">
            <v>0</v>
          </cell>
          <cell r="R38">
            <v>66</v>
          </cell>
          <cell r="Y38">
            <v>23</v>
          </cell>
          <cell r="Z38">
            <v>13</v>
          </cell>
          <cell r="AA38">
            <v>1</v>
          </cell>
          <cell r="AB38">
            <v>9</v>
          </cell>
        </row>
      </sheetData>
      <sheetData sheetId="12">
        <row r="37">
          <cell r="H37">
            <v>7</v>
          </cell>
          <cell r="P37">
            <v>6</v>
          </cell>
        </row>
        <row r="39">
          <cell r="F39">
            <v>544</v>
          </cell>
          <cell r="G39">
            <v>528</v>
          </cell>
          <cell r="J39">
            <v>63</v>
          </cell>
          <cell r="L39">
            <v>0</v>
          </cell>
          <cell r="N39">
            <v>13</v>
          </cell>
          <cell r="O39">
            <v>0</v>
          </cell>
          <cell r="R39">
            <v>56</v>
          </cell>
          <cell r="Y39">
            <v>22</v>
          </cell>
          <cell r="Z39">
            <v>10</v>
          </cell>
          <cell r="AA39">
            <v>0</v>
          </cell>
          <cell r="AB39">
            <v>12</v>
          </cell>
        </row>
      </sheetData>
      <sheetData sheetId="13">
        <row r="35">
          <cell r="H35">
            <v>5</v>
          </cell>
          <cell r="P35">
            <v>10</v>
          </cell>
        </row>
        <row r="37">
          <cell r="F37">
            <v>478</v>
          </cell>
          <cell r="G37">
            <v>632</v>
          </cell>
          <cell r="J37">
            <v>47</v>
          </cell>
          <cell r="L37">
            <v>0</v>
          </cell>
          <cell r="N37">
            <v>7</v>
          </cell>
          <cell r="O37">
            <v>4</v>
          </cell>
          <cell r="R37">
            <v>81</v>
          </cell>
          <cell r="Y37">
            <v>22</v>
          </cell>
          <cell r="Z37">
            <v>7</v>
          </cell>
          <cell r="AA37">
            <v>0</v>
          </cell>
          <cell r="AB37">
            <v>15</v>
          </cell>
        </row>
      </sheetData>
      <sheetData sheetId="14">
        <row r="36">
          <cell r="H36">
            <v>1</v>
          </cell>
          <cell r="P36">
            <v>9</v>
          </cell>
          <cell r="AA36">
            <v>0</v>
          </cell>
        </row>
        <row r="38">
          <cell r="F38">
            <v>395</v>
          </cell>
          <cell r="G38">
            <v>541</v>
          </cell>
          <cell r="J38">
            <v>43</v>
          </cell>
          <cell r="L38">
            <v>0</v>
          </cell>
          <cell r="N38">
            <v>9</v>
          </cell>
          <cell r="O38">
            <v>0</v>
          </cell>
          <cell r="R38">
            <v>66</v>
          </cell>
          <cell r="Y38">
            <v>22</v>
          </cell>
          <cell r="Z38">
            <v>6</v>
          </cell>
          <cell r="AB38">
            <v>16</v>
          </cell>
        </row>
      </sheetData>
      <sheetData sheetId="15">
        <row r="40">
          <cell r="H40">
            <v>8</v>
          </cell>
          <cell r="P40">
            <v>7</v>
          </cell>
        </row>
        <row r="42">
          <cell r="F42">
            <v>602</v>
          </cell>
          <cell r="G42">
            <v>563</v>
          </cell>
          <cell r="J42">
            <v>75</v>
          </cell>
          <cell r="L42">
            <v>0</v>
          </cell>
          <cell r="R42">
            <v>68</v>
          </cell>
          <cell r="Y42">
            <v>23</v>
          </cell>
          <cell r="Z42">
            <v>11</v>
          </cell>
          <cell r="AA42">
            <v>0</v>
          </cell>
          <cell r="AB42">
            <v>12</v>
          </cell>
        </row>
      </sheetData>
      <sheetData sheetId="16">
        <row r="37">
          <cell r="F37">
            <v>462</v>
          </cell>
          <cell r="G37">
            <v>504</v>
          </cell>
          <cell r="H37">
            <v>3</v>
          </cell>
          <cell r="P37">
            <v>7</v>
          </cell>
        </row>
        <row r="39">
          <cell r="J39">
            <v>52</v>
          </cell>
          <cell r="L39">
            <v>0</v>
          </cell>
          <cell r="N39">
            <v>6</v>
          </cell>
          <cell r="O39">
            <v>0</v>
          </cell>
          <cell r="R39">
            <v>62</v>
          </cell>
          <cell r="Y39">
            <v>22</v>
          </cell>
          <cell r="Z39">
            <v>11</v>
          </cell>
          <cell r="AA39">
            <v>2</v>
          </cell>
          <cell r="AB39">
            <v>9</v>
          </cell>
        </row>
      </sheetData>
      <sheetData sheetId="17">
        <row r="42">
          <cell r="H42">
            <v>10</v>
          </cell>
          <cell r="P42">
            <v>2</v>
          </cell>
        </row>
        <row r="44">
          <cell r="F44">
            <v>725</v>
          </cell>
          <cell r="G44">
            <v>493</v>
          </cell>
          <cell r="J44">
            <v>88</v>
          </cell>
          <cell r="L44">
            <v>0</v>
          </cell>
          <cell r="N44">
            <v>18</v>
          </cell>
          <cell r="O44">
            <v>0</v>
          </cell>
          <cell r="R44">
            <v>52</v>
          </cell>
          <cell r="Y44">
            <v>24</v>
          </cell>
          <cell r="Z44">
            <v>18</v>
          </cell>
          <cell r="AA44">
            <v>0</v>
          </cell>
          <cell r="AB44">
            <v>6</v>
          </cell>
        </row>
      </sheetData>
      <sheetData sheetId="18">
        <row r="35">
          <cell r="H35">
            <v>7</v>
          </cell>
          <cell r="P35">
            <v>6</v>
          </cell>
        </row>
        <row r="37">
          <cell r="F37">
            <v>483</v>
          </cell>
          <cell r="G37">
            <v>552</v>
          </cell>
          <cell r="J37">
            <v>56</v>
          </cell>
          <cell r="L37">
            <v>0</v>
          </cell>
          <cell r="N37">
            <v>8</v>
          </cell>
          <cell r="O37">
            <v>0</v>
          </cell>
          <cell r="R37">
            <v>62</v>
          </cell>
          <cell r="Y37">
            <v>22</v>
          </cell>
          <cell r="Z37">
            <v>10</v>
          </cell>
          <cell r="AA37">
            <v>0</v>
          </cell>
          <cell r="AB37">
            <v>12</v>
          </cell>
        </row>
      </sheetData>
      <sheetData sheetId="19">
        <row r="37">
          <cell r="H37">
            <v>6</v>
          </cell>
          <cell r="P37">
            <v>7</v>
          </cell>
        </row>
        <row r="39">
          <cell r="F39">
            <v>491</v>
          </cell>
          <cell r="G39">
            <v>557</v>
          </cell>
          <cell r="J39">
            <v>56</v>
          </cell>
          <cell r="L39">
            <v>0</v>
          </cell>
          <cell r="N39">
            <v>8</v>
          </cell>
          <cell r="O39">
            <v>1</v>
          </cell>
          <cell r="R39">
            <v>66</v>
          </cell>
          <cell r="Y39">
            <v>22</v>
          </cell>
          <cell r="Z39">
            <v>9</v>
          </cell>
          <cell r="AA39">
            <v>0</v>
          </cell>
          <cell r="AB39">
            <v>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Yr-By-Yr"/>
      <sheetName val="Cards"/>
      <sheetName val="Stats"/>
      <sheetName val="Form"/>
      <sheetName val="Table"/>
      <sheetName val="Results"/>
      <sheetName val="BTH"/>
      <sheetName val="BRI"/>
      <sheetName val="EXE"/>
      <sheetName val="GLO"/>
      <sheetName val="HAR"/>
      <sheetName val="LEIC"/>
      <sheetName val="NEW"/>
      <sheetName val="NOR"/>
      <sheetName val="SAL"/>
      <sheetName val="SAR"/>
      <sheetName val="WAS"/>
      <sheetName val="W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N35">
            <v>10</v>
          </cell>
          <cell r="O35">
            <v>1</v>
          </cell>
        </row>
      </sheetData>
      <sheetData sheetId="9">
        <row r="39">
          <cell r="N39">
            <v>5</v>
          </cell>
          <cell r="O39">
            <v>2</v>
          </cell>
        </row>
      </sheetData>
      <sheetData sheetId="10">
        <row r="40">
          <cell r="N40">
            <v>2</v>
          </cell>
          <cell r="O40">
            <v>0</v>
          </cell>
        </row>
      </sheetData>
      <sheetData sheetId="11"/>
      <sheetData sheetId="12">
        <row r="39">
          <cell r="N39">
            <v>12</v>
          </cell>
          <cell r="O39">
            <v>0</v>
          </cell>
        </row>
      </sheetData>
      <sheetData sheetId="13">
        <row r="37">
          <cell r="N37">
            <v>13</v>
          </cell>
          <cell r="O37">
            <v>1</v>
          </cell>
        </row>
      </sheetData>
      <sheetData sheetId="14">
        <row r="37">
          <cell r="N37">
            <v>10</v>
          </cell>
          <cell r="O37">
            <v>2</v>
          </cell>
        </row>
      </sheetData>
      <sheetData sheetId="15"/>
      <sheetData sheetId="16">
        <row r="42">
          <cell r="N42">
            <v>0</v>
          </cell>
          <cell r="O42">
            <v>0</v>
          </cell>
        </row>
      </sheetData>
      <sheetData sheetId="17">
        <row r="40">
          <cell r="N40">
            <v>3</v>
          </cell>
          <cell r="O40">
            <v>0</v>
          </cell>
        </row>
      </sheetData>
      <sheetData sheetId="18">
        <row r="35">
          <cell r="N35">
            <v>9</v>
          </cell>
          <cell r="O35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Yr-By-Yr"/>
      <sheetName val="Cards"/>
      <sheetName val="Team Stats"/>
      <sheetName val="Form"/>
      <sheetName val="Table"/>
      <sheetName val="Results"/>
      <sheetName val="BTH"/>
      <sheetName val="EXE"/>
      <sheetName val="GLO"/>
      <sheetName val="HAR"/>
      <sheetName val="LEI"/>
      <sheetName val="LIR"/>
      <sheetName val="NEW"/>
      <sheetName val="NOR"/>
      <sheetName val="SAL"/>
      <sheetName val="SAR"/>
      <sheetName val="WAS"/>
      <sheetName val="W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6">
          <cell r="AB36">
            <v>1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2AC4-5D7B-4914-8AFA-668E28E7E64F}">
  <dimension ref="A1:J75"/>
  <sheetViews>
    <sheetView workbookViewId="0">
      <selection activeCell="O16" sqref="O16"/>
    </sheetView>
  </sheetViews>
  <sheetFormatPr defaultRowHeight="14.3" x14ac:dyDescent="0.25"/>
  <cols>
    <col min="1" max="1" width="12.5" bestFit="1" customWidth="1"/>
    <col min="10" max="10" width="12.625" bestFit="1" customWidth="1"/>
  </cols>
  <sheetData>
    <row r="1" spans="1:9" x14ac:dyDescent="0.25">
      <c r="A1" s="487" t="s">
        <v>224</v>
      </c>
      <c r="B1" s="488"/>
      <c r="C1" s="488"/>
      <c r="D1" s="488"/>
      <c r="E1" s="488"/>
      <c r="F1" s="488"/>
      <c r="G1" s="488"/>
      <c r="H1" s="488"/>
      <c r="I1" s="488"/>
    </row>
    <row r="2" spans="1:9" x14ac:dyDescent="0.25">
      <c r="A2" s="489"/>
      <c r="B2" s="490" t="s">
        <v>170</v>
      </c>
      <c r="C2" s="490" t="s">
        <v>171</v>
      </c>
      <c r="D2" s="490" t="s">
        <v>172</v>
      </c>
      <c r="E2" s="490" t="s">
        <v>177</v>
      </c>
      <c r="F2" s="490" t="s">
        <v>173</v>
      </c>
      <c r="G2" s="490" t="s">
        <v>174</v>
      </c>
      <c r="H2" s="490" t="s">
        <v>175</v>
      </c>
      <c r="I2" s="490" t="s">
        <v>176</v>
      </c>
    </row>
    <row r="3" spans="1:9" x14ac:dyDescent="0.25">
      <c r="A3" s="491" t="s">
        <v>37</v>
      </c>
      <c r="B3" s="492">
        <f>449+arg2019played</f>
        <v>453</v>
      </c>
      <c r="C3" s="492">
        <f>229+arg2019won</f>
        <v>230</v>
      </c>
      <c r="D3" s="492">
        <f>210+arg2019lost</f>
        <v>211</v>
      </c>
      <c r="E3" s="492">
        <f>10+arg2019drawn</f>
        <v>12</v>
      </c>
      <c r="F3" s="493">
        <f t="shared" ref="F3:F23" si="0">SUM(C3+E3*0.5)/B3</f>
        <v>0.52097130242825607</v>
      </c>
      <c r="G3" s="492">
        <f>12707+arg2019ptsscored</f>
        <v>12763</v>
      </c>
      <c r="H3" s="492">
        <f>9182+arg2019ptsconc</f>
        <v>9266</v>
      </c>
      <c r="I3" s="491">
        <f>1593+arg2019triesscored</f>
        <v>1595</v>
      </c>
    </row>
    <row r="4" spans="1:9" x14ac:dyDescent="0.25">
      <c r="A4" s="491" t="s">
        <v>29</v>
      </c>
      <c r="B4" s="492">
        <f>641+australiaalltests2019playedcorrect</f>
        <v>647</v>
      </c>
      <c r="C4" s="492">
        <v>332</v>
      </c>
      <c r="D4" s="492">
        <f>296+australiaalltests2019lost</f>
        <v>298</v>
      </c>
      <c r="E4" s="492">
        <v>19</v>
      </c>
      <c r="F4" s="493">
        <f t="shared" si="0"/>
        <v>0.52782071097372485</v>
      </c>
      <c r="G4" s="492">
        <v>13806</v>
      </c>
      <c r="H4" s="492">
        <v>11571</v>
      </c>
      <c r="I4" s="492">
        <v>1726</v>
      </c>
    </row>
    <row r="5" spans="1:9" x14ac:dyDescent="0.25">
      <c r="A5" s="491" t="s">
        <v>40</v>
      </c>
      <c r="B5" s="492">
        <f>277+can2019alltestsplayed</f>
        <v>277</v>
      </c>
      <c r="C5" s="492">
        <f>107+can2019alltestswon</f>
        <v>107</v>
      </c>
      <c r="D5" s="492">
        <f>164+can2019alltestslost</f>
        <v>164</v>
      </c>
      <c r="E5" s="492">
        <f>6+can2019alltestsdrawn</f>
        <v>6</v>
      </c>
      <c r="F5" s="493">
        <f t="shared" si="0"/>
        <v>0.3971119133574007</v>
      </c>
      <c r="G5" s="492">
        <f>5769+can2019alltestsptsscored</f>
        <v>5769</v>
      </c>
      <c r="H5" s="492">
        <f>7229+can2019alltestsptsagainst</f>
        <v>7229</v>
      </c>
      <c r="I5" s="492">
        <f>612+can2019allteststriesscored</f>
        <v>612</v>
      </c>
    </row>
    <row r="6" spans="1:9" x14ac:dyDescent="0.25">
      <c r="A6" s="491" t="s">
        <v>30</v>
      </c>
      <c r="B6" s="492">
        <f>742+Eng2019alltestsplayed</f>
        <v>751</v>
      </c>
      <c r="C6" s="492">
        <f>411+Eng2019alltestswon</f>
        <v>419</v>
      </c>
      <c r="D6" s="492">
        <f>280+Eng2019alltestslost</f>
        <v>281</v>
      </c>
      <c r="E6" s="492">
        <f>51+Eng2019alltestsdrawn</f>
        <v>51</v>
      </c>
      <c r="F6" s="493">
        <f t="shared" si="0"/>
        <v>0.59187749667110523</v>
      </c>
      <c r="G6" s="492">
        <f>12957+Eng2019alltestsptsscored</f>
        <v>13182</v>
      </c>
      <c r="H6" s="492">
        <f>9491+Eng2019alltestsptsagainst</f>
        <v>9607</v>
      </c>
      <c r="I6" s="491">
        <f>1685+Eng2019allteststriesscored</f>
        <v>1710</v>
      </c>
    </row>
    <row r="7" spans="1:9" x14ac:dyDescent="0.25">
      <c r="A7" s="491" t="s">
        <v>31</v>
      </c>
      <c r="B7" s="492">
        <f>346+Fij2019alltestsplayed</f>
        <v>347</v>
      </c>
      <c r="C7" s="492">
        <f>169+Fij2019alltestswon</f>
        <v>170</v>
      </c>
      <c r="D7" s="492">
        <f>167+Fij2019alltestslost</f>
        <v>167</v>
      </c>
      <c r="E7" s="492">
        <f>10+Fij2019alltestsdrawn</f>
        <v>10</v>
      </c>
      <c r="F7" s="493">
        <f t="shared" si="0"/>
        <v>0.50432276657060515</v>
      </c>
      <c r="G7" s="492">
        <f>7471+Fij2019alltestsptsscored</f>
        <v>7509</v>
      </c>
      <c r="H7" s="492">
        <f>7226+Fij2019alltestsptsagainst</f>
        <v>7250</v>
      </c>
      <c r="I7" s="491">
        <f>1052+Fij2019allteststriesscored</f>
        <v>1058</v>
      </c>
    </row>
    <row r="8" spans="1:9" x14ac:dyDescent="0.25">
      <c r="A8" s="491" t="s">
        <v>34</v>
      </c>
      <c r="B8" s="492">
        <f>766+Fra2019alltestsplayed</f>
        <v>775</v>
      </c>
      <c r="C8" s="492">
        <f>412+Fra2019alltestswon</f>
        <v>419</v>
      </c>
      <c r="D8" s="492">
        <f>321+Fra2019alltestslost</f>
        <v>323</v>
      </c>
      <c r="E8" s="492">
        <f>33+Fra2019alltestsdrawn</f>
        <v>33</v>
      </c>
      <c r="F8" s="493">
        <f t="shared" si="0"/>
        <v>0.5619354838709677</v>
      </c>
      <c r="G8" s="492">
        <f>14043+Fra2019alltestsptsscored</f>
        <v>14296</v>
      </c>
      <c r="H8" s="492">
        <f>11752+Fra2019alltestsptsagainst</f>
        <v>11932</v>
      </c>
      <c r="I8" s="491">
        <f>1771+Fra2019allteststriesscored</f>
        <v>1800</v>
      </c>
    </row>
    <row r="9" spans="1:9" x14ac:dyDescent="0.25">
      <c r="A9" s="491" t="s">
        <v>38</v>
      </c>
      <c r="B9" s="492">
        <f>229+Geo2019alltestsplayed</f>
        <v>238</v>
      </c>
      <c r="C9" s="492">
        <f>141+Geo2019alltestswon</f>
        <v>145</v>
      </c>
      <c r="D9" s="492">
        <f>81+Geo2019alltestslost</f>
        <v>86</v>
      </c>
      <c r="E9" s="492">
        <f>7+Geo2019alltestsdrawn</f>
        <v>7</v>
      </c>
      <c r="F9" s="493">
        <f t="shared" si="0"/>
        <v>0.62394957983193278</v>
      </c>
      <c r="G9" s="492">
        <f>5313+Geo2019alltestsptsscored</f>
        <v>5535</v>
      </c>
      <c r="H9" s="492">
        <f>4153+Geo2019alltestsptsagainst</f>
        <v>4373</v>
      </c>
      <c r="I9" s="491">
        <f>640+Geo2019allteststriesscored</f>
        <v>673</v>
      </c>
    </row>
    <row r="10" spans="1:9" x14ac:dyDescent="0.25">
      <c r="A10" s="491" t="s">
        <v>39</v>
      </c>
      <c r="B10" s="492">
        <f>704+Ire2019alltestsplayed</f>
        <v>713</v>
      </c>
      <c r="C10" s="492">
        <f>318+Ire2019alltestswon</f>
        <v>324</v>
      </c>
      <c r="D10" s="492">
        <f>354+Ire2019alltestslost</f>
        <v>357</v>
      </c>
      <c r="E10" s="492">
        <f>32+Ire2019alltestsdrawn</f>
        <v>32</v>
      </c>
      <c r="F10" s="493">
        <f t="shared" si="0"/>
        <v>0.47685834502103785</v>
      </c>
      <c r="G10" s="492">
        <f>10725+Ire2019alltestsptsscored</f>
        <v>10950</v>
      </c>
      <c r="H10" s="492">
        <f>10003+Ire2019alltestsptscon</f>
        <v>10158</v>
      </c>
      <c r="I10" s="491">
        <f>1331+Ire2019allteststriesscored</f>
        <v>1356</v>
      </c>
    </row>
    <row r="11" spans="1:9" x14ac:dyDescent="0.25">
      <c r="A11" s="491" t="s">
        <v>33</v>
      </c>
      <c r="B11" s="492">
        <f>506+ita2019alltestsplayed</f>
        <v>514</v>
      </c>
      <c r="C11" s="492">
        <f>187+ita2019alltestswon</f>
        <v>187</v>
      </c>
      <c r="D11" s="492">
        <f>305+ita2019alltestslost</f>
        <v>313</v>
      </c>
      <c r="E11" s="492">
        <f>14+ita2019alltestsdrawn</f>
        <v>14</v>
      </c>
      <c r="F11" s="493">
        <f t="shared" si="0"/>
        <v>0.37743190661478598</v>
      </c>
      <c r="G11" s="492">
        <f>8733+ita2019alltestsptsscored</f>
        <v>8817</v>
      </c>
      <c r="H11" s="492">
        <f>11711+ita2019alltestsptscon</f>
        <v>11991</v>
      </c>
      <c r="I11" s="492">
        <f>973+ita2019allteststriesscored</f>
        <v>983</v>
      </c>
    </row>
    <row r="12" spans="1:9" x14ac:dyDescent="0.25">
      <c r="A12" s="491" t="s">
        <v>36</v>
      </c>
      <c r="B12" s="492">
        <f>356+jpn2019alltestsplayed</f>
        <v>356</v>
      </c>
      <c r="C12" s="492">
        <f>157+jpn2019alltestswon</f>
        <v>157</v>
      </c>
      <c r="D12" s="492">
        <f>189+jpn2019alltestslost</f>
        <v>189</v>
      </c>
      <c r="E12" s="492">
        <f>10+jpn2019alltestsdrawn</f>
        <v>10</v>
      </c>
      <c r="F12" s="493">
        <f t="shared" si="0"/>
        <v>0.4550561797752809</v>
      </c>
      <c r="G12" s="492">
        <f>10034+jpn2019alltestsptsscored</f>
        <v>10034</v>
      </c>
      <c r="H12" s="492">
        <f>9877+jpn2019alltestsptsagainst</f>
        <v>9877</v>
      </c>
      <c r="I12" s="492">
        <f>1371+jpn2019allteststriesscored</f>
        <v>1371</v>
      </c>
    </row>
    <row r="13" spans="1:9" x14ac:dyDescent="0.25">
      <c r="A13" s="491" t="s">
        <v>135</v>
      </c>
      <c r="B13" s="492">
        <f>157+Nam2019alltestsplayed</f>
        <v>157</v>
      </c>
      <c r="C13" s="492">
        <f>89++Nam2019alltestswon</f>
        <v>89</v>
      </c>
      <c r="D13" s="492">
        <f>66+Nam2019alltestslost</f>
        <v>66</v>
      </c>
      <c r="E13" s="492">
        <f>2+Nam2019alltestsdrawn</f>
        <v>2</v>
      </c>
      <c r="F13" s="493">
        <f t="shared" si="0"/>
        <v>0.57324840764331209</v>
      </c>
      <c r="G13" s="492">
        <f>4853+Nam2019alltestsptsscored</f>
        <v>4853</v>
      </c>
      <c r="H13" s="492">
        <f>4126+Nam2019alltestsptscon</f>
        <v>4126</v>
      </c>
      <c r="I13" s="491">
        <f>648+Nam2019allteststriesscored</f>
        <v>648</v>
      </c>
    </row>
    <row r="14" spans="1:9" x14ac:dyDescent="0.25">
      <c r="A14" s="491" t="s">
        <v>162</v>
      </c>
      <c r="B14" s="492">
        <v>597</v>
      </c>
      <c r="C14" s="492">
        <v>460</v>
      </c>
      <c r="D14" s="492">
        <v>115</v>
      </c>
      <c r="E14" s="492">
        <v>22</v>
      </c>
      <c r="F14" s="493">
        <f t="shared" si="0"/>
        <v>0.78894472361809043</v>
      </c>
      <c r="G14" s="492">
        <v>16575</v>
      </c>
      <c r="H14" s="492">
        <v>7944</v>
      </c>
      <c r="I14" s="491">
        <v>2172</v>
      </c>
    </row>
    <row r="15" spans="1:9" x14ac:dyDescent="0.25">
      <c r="A15" s="491" t="s">
        <v>145</v>
      </c>
      <c r="B15" s="492">
        <f>453+romaniaalltestsplayed</f>
        <v>457</v>
      </c>
      <c r="C15" s="492">
        <f>260+romaniaalltestswon</f>
        <v>261</v>
      </c>
      <c r="D15" s="492">
        <f>181+romaniaalltestslost</f>
        <v>184</v>
      </c>
      <c r="E15" s="492">
        <f>12+romaniaalltestsdrawn</f>
        <v>12</v>
      </c>
      <c r="F15" s="493">
        <f t="shared" si="0"/>
        <v>0.58424507658643321</v>
      </c>
      <c r="G15" s="492">
        <f>10181+romaniaalltestsptsscored</f>
        <v>10254</v>
      </c>
      <c r="H15" s="492">
        <f>8121+romaniaalltestsptsagainst</f>
        <v>8223</v>
      </c>
      <c r="I15" s="491">
        <f>883+romaniaallteststriesscored</f>
        <v>890</v>
      </c>
    </row>
    <row r="16" spans="1:9" x14ac:dyDescent="0.25">
      <c r="A16" s="491" t="s">
        <v>105</v>
      </c>
      <c r="B16" s="492">
        <f>217+Rus2019alltestsplayed</f>
        <v>221</v>
      </c>
      <c r="C16" s="492">
        <f>108+Rus2019alltestswon</f>
        <v>110</v>
      </c>
      <c r="D16" s="492">
        <f>106+Rus2019alltestslost</f>
        <v>108</v>
      </c>
      <c r="E16" s="492">
        <f>3+Rus2019alltestsdrawn</f>
        <v>3</v>
      </c>
      <c r="F16" s="493">
        <f t="shared" si="0"/>
        <v>0.50452488687782804</v>
      </c>
      <c r="G16" s="492">
        <f>5522+Rus2019alltestsptsscored</f>
        <v>5597</v>
      </c>
      <c r="H16" s="492">
        <f>5237+Rus2019alltestsptscon</f>
        <v>5349</v>
      </c>
      <c r="I16" s="492">
        <f>565+Rus2019allteststriescored</f>
        <v>574</v>
      </c>
    </row>
    <row r="17" spans="1:10" x14ac:dyDescent="0.25">
      <c r="A17" s="491" t="s">
        <v>131</v>
      </c>
      <c r="B17" s="492">
        <f>243+Sam2019alltestsplayed</f>
        <v>243</v>
      </c>
      <c r="C17" s="492">
        <f>104+Sam2019alltestswon</f>
        <v>104</v>
      </c>
      <c r="D17" s="492">
        <f>130+Sam2019alltestslost</f>
        <v>130</v>
      </c>
      <c r="E17" s="492">
        <f>9+Sam2019alltestsdrawn</f>
        <v>9</v>
      </c>
      <c r="F17" s="493">
        <f t="shared" si="0"/>
        <v>0.44650205761316875</v>
      </c>
      <c r="G17" s="492">
        <f>4909+Sam2019alltestsptsscored</f>
        <v>4909</v>
      </c>
      <c r="H17" s="492">
        <f>5447+Sam2019alltestsptscon</f>
        <v>5447</v>
      </c>
      <c r="I17" s="492">
        <f>522+Sam2019allteststriescored</f>
        <v>522</v>
      </c>
    </row>
    <row r="18" spans="1:10" x14ac:dyDescent="0.25">
      <c r="A18" s="491" t="s">
        <v>35</v>
      </c>
      <c r="B18" s="492">
        <f>700+Sco2019alltestsplayed</f>
        <v>709</v>
      </c>
      <c r="C18" s="492">
        <f>302+Sco2019alltestswon</f>
        <v>307</v>
      </c>
      <c r="D18" s="492">
        <f>365+Sco2019alltestslost</f>
        <v>369</v>
      </c>
      <c r="E18" s="492">
        <f>33+Sco2019alltestsdrawn</f>
        <v>33</v>
      </c>
      <c r="F18" s="493">
        <f t="shared" si="0"/>
        <v>0.45627644569816644</v>
      </c>
      <c r="G18" s="492">
        <f>9927+Sco2019alltestsptsscored</f>
        <v>10111</v>
      </c>
      <c r="H18" s="492">
        <f>10609+Sco2019alltestsptsagainst</f>
        <v>10745</v>
      </c>
      <c r="I18" s="491">
        <f>1268+Sco2019allteststriesscored</f>
        <v>1288</v>
      </c>
    </row>
    <row r="19" spans="1:10" x14ac:dyDescent="0.25">
      <c r="A19" s="491" t="s">
        <v>161</v>
      </c>
      <c r="B19" s="492">
        <f>503+Rsa2019alltestsplayed</f>
        <v>503</v>
      </c>
      <c r="C19" s="492">
        <f>315+Rsa2019alltestswon</f>
        <v>315</v>
      </c>
      <c r="D19" s="492">
        <f>164+Rsa2019alltestslost</f>
        <v>164</v>
      </c>
      <c r="E19" s="492">
        <f>24+Rsa2019alltestsdrawn</f>
        <v>24</v>
      </c>
      <c r="F19" s="493">
        <f t="shared" si="0"/>
        <v>0.6500994035785288</v>
      </c>
      <c r="G19" s="492">
        <f>11815+Rsa2019alltestsptsscored</f>
        <v>11815</v>
      </c>
      <c r="H19" s="492">
        <f>8132+Rsa2019alltestsptscon</f>
        <v>8132</v>
      </c>
      <c r="I19" s="491">
        <f>1428+Rsa2019allteststriesscored</f>
        <v>1428</v>
      </c>
    </row>
    <row r="20" spans="1:10" x14ac:dyDescent="0.25">
      <c r="A20" s="491" t="s">
        <v>129</v>
      </c>
      <c r="B20" s="492">
        <f>284+Ton2019alltestsplayed</f>
        <v>284</v>
      </c>
      <c r="C20" s="492">
        <f>108+Ton2019alltestswon</f>
        <v>108</v>
      </c>
      <c r="D20" s="492">
        <f>169+Ton2019alltestslost</f>
        <v>169</v>
      </c>
      <c r="E20" s="492">
        <f>7+Ton2019alltestsdrawn</f>
        <v>7</v>
      </c>
      <c r="F20" s="493">
        <v>0.57515657620041749</v>
      </c>
      <c r="G20" s="492">
        <f>5160+Ton2019alltestsptsscored</f>
        <v>5160</v>
      </c>
      <c r="H20" s="492">
        <f>6545+Ton2019alltestsptscon</f>
        <v>6545</v>
      </c>
      <c r="I20" s="491">
        <f>616+Ton2019allteststriesscored</f>
        <v>616</v>
      </c>
    </row>
    <row r="21" spans="1:10" x14ac:dyDescent="0.25">
      <c r="A21" s="491" t="s">
        <v>198</v>
      </c>
      <c r="B21" s="492">
        <f>260+USA2019alltestsplayed</f>
        <v>260</v>
      </c>
      <c r="C21" s="492">
        <f>95+USA2019alltestswon</f>
        <v>95</v>
      </c>
      <c r="D21" s="492">
        <f>161+USA2019alltestslost</f>
        <v>161</v>
      </c>
      <c r="E21" s="492">
        <f>4+USA2019alltestsdrawn</f>
        <v>4</v>
      </c>
      <c r="F21" s="493">
        <f t="shared" si="0"/>
        <v>0.37307692307692308</v>
      </c>
      <c r="G21" s="492">
        <f>5489+USA2019alltestsptsscored</f>
        <v>5489</v>
      </c>
      <c r="H21" s="492">
        <f>6984+USA2019alltestsptscon</f>
        <v>6984</v>
      </c>
      <c r="I21" s="492">
        <f>648+USA2019allteststriesscored</f>
        <v>648</v>
      </c>
    </row>
    <row r="22" spans="1:10" x14ac:dyDescent="0.25">
      <c r="A22" s="491" t="s">
        <v>106</v>
      </c>
      <c r="B22" s="492">
        <f>288+Uru2019alltestsplayedcorrect</f>
        <v>290</v>
      </c>
      <c r="C22" s="492">
        <f>136+Uru2019alltestswon</f>
        <v>137</v>
      </c>
      <c r="D22" s="492">
        <f>148+Uru2019alltestslost</f>
        <v>149</v>
      </c>
      <c r="E22" s="492">
        <f>4+Uru2019alltestsdrawn</f>
        <v>4</v>
      </c>
      <c r="F22" s="493">
        <f t="shared" si="0"/>
        <v>0.47931034482758622</v>
      </c>
      <c r="G22" s="492">
        <f>6513+Uru2019alltestsptsscored</f>
        <v>6552</v>
      </c>
      <c r="H22" s="492">
        <f>7366+Uru2019alltestsptscon</f>
        <v>7408</v>
      </c>
      <c r="I22" s="491">
        <f>789+Uru2019allteststriesscored</f>
        <v>792</v>
      </c>
    </row>
    <row r="23" spans="1:10" x14ac:dyDescent="0.25">
      <c r="A23" s="491" t="s">
        <v>32</v>
      </c>
      <c r="B23" s="492">
        <f>733+Wal2019alltestsplayed</f>
        <v>743</v>
      </c>
      <c r="C23" s="492">
        <f>385+Wal2019alltestswon</f>
        <v>388</v>
      </c>
      <c r="D23" s="492">
        <f>319+Wal2019alltestslostcorrect</f>
        <v>326</v>
      </c>
      <c r="E23" s="492">
        <f>29+Wal2019alltestsdrawn</f>
        <v>29</v>
      </c>
      <c r="F23" s="493">
        <f t="shared" si="0"/>
        <v>0.54172274562584122</v>
      </c>
      <c r="G23" s="492">
        <f>12666+Wal2019alltestsptsscored</f>
        <v>12884</v>
      </c>
      <c r="H23" s="492">
        <f>11087+Wal2019alltestsptscon</f>
        <v>11297</v>
      </c>
      <c r="I23" s="492">
        <f>1595+Wal2019allteststriesscored</f>
        <v>1618</v>
      </c>
    </row>
    <row r="24" spans="1:10" x14ac:dyDescent="0.25">
      <c r="A24" s="487" t="s">
        <v>529</v>
      </c>
      <c r="B24" s="488"/>
      <c r="C24" s="488"/>
      <c r="D24" s="488"/>
      <c r="E24" s="488"/>
      <c r="F24" s="488"/>
      <c r="G24" s="488"/>
      <c r="H24" s="488"/>
      <c r="I24" s="488"/>
    </row>
    <row r="26" spans="1:10" x14ac:dyDescent="0.25">
      <c r="A26" s="482" t="s">
        <v>167</v>
      </c>
      <c r="B26" s="484"/>
      <c r="C26" s="484"/>
      <c r="D26" s="484"/>
      <c r="E26" s="484"/>
      <c r="F26" s="484"/>
      <c r="G26" s="484"/>
      <c r="H26" s="484"/>
      <c r="I26" s="484"/>
      <c r="J26" s="484"/>
    </row>
    <row r="27" spans="1:10" x14ac:dyDescent="0.25">
      <c r="A27" s="494"/>
      <c r="B27" s="495" t="s">
        <v>170</v>
      </c>
      <c r="C27" s="495" t="s">
        <v>171</v>
      </c>
      <c r="D27" s="495" t="s">
        <v>172</v>
      </c>
      <c r="E27" s="495" t="s">
        <v>177</v>
      </c>
      <c r="F27" s="495" t="s">
        <v>173</v>
      </c>
      <c r="G27" s="495" t="s">
        <v>174</v>
      </c>
      <c r="H27" s="495" t="s">
        <v>175</v>
      </c>
      <c r="I27" s="495" t="s">
        <v>176</v>
      </c>
      <c r="J27" s="495" t="s">
        <v>197</v>
      </c>
    </row>
    <row r="28" spans="1:10" x14ac:dyDescent="0.25">
      <c r="A28" s="496" t="s">
        <v>37</v>
      </c>
      <c r="B28" s="497">
        <v>41</v>
      </c>
      <c r="C28" s="497">
        <v>21</v>
      </c>
      <c r="D28" s="497">
        <v>20</v>
      </c>
      <c r="E28" s="497">
        <v>0</v>
      </c>
      <c r="F28" s="498">
        <f t="shared" ref="F28:F48" si="1">SUM(C28+E28*0.5)/B28</f>
        <v>0.51219512195121952</v>
      </c>
      <c r="G28" s="497">
        <v>1098</v>
      </c>
      <c r="H28" s="497">
        <v>839</v>
      </c>
      <c r="I28" s="496">
        <v>115</v>
      </c>
      <c r="J28" s="484">
        <v>9</v>
      </c>
    </row>
    <row r="29" spans="1:10" x14ac:dyDescent="0.25">
      <c r="A29" s="496" t="s">
        <v>29</v>
      </c>
      <c r="B29" s="497">
        <v>53</v>
      </c>
      <c r="C29" s="497">
        <v>42</v>
      </c>
      <c r="D29" s="497">
        <v>11</v>
      </c>
      <c r="E29" s="497">
        <v>0</v>
      </c>
      <c r="F29" s="498">
        <f t="shared" si="1"/>
        <v>0.79245283018867929</v>
      </c>
      <c r="G29" s="497">
        <v>1797</v>
      </c>
      <c r="H29" s="497">
        <v>754</v>
      </c>
      <c r="I29" s="497">
        <v>230</v>
      </c>
      <c r="J29" s="484">
        <v>9</v>
      </c>
    </row>
    <row r="30" spans="1:10" x14ac:dyDescent="0.25">
      <c r="A30" s="496" t="s">
        <v>40</v>
      </c>
      <c r="B30" s="497">
        <v>32</v>
      </c>
      <c r="C30" s="497">
        <v>7</v>
      </c>
      <c r="D30" s="497">
        <v>23</v>
      </c>
      <c r="E30" s="497">
        <v>2</v>
      </c>
      <c r="F30" s="498">
        <f t="shared" si="1"/>
        <v>0.25</v>
      </c>
      <c r="G30" s="497">
        <v>541</v>
      </c>
      <c r="H30" s="497">
        <v>1015</v>
      </c>
      <c r="I30" s="497">
        <v>58</v>
      </c>
      <c r="J30" s="484">
        <v>9</v>
      </c>
    </row>
    <row r="31" spans="1:10" x14ac:dyDescent="0.25">
      <c r="A31" s="496" t="s">
        <v>30</v>
      </c>
      <c r="B31" s="497">
        <v>50</v>
      </c>
      <c r="C31" s="497">
        <v>36</v>
      </c>
      <c r="D31" s="497">
        <v>14</v>
      </c>
      <c r="E31" s="497">
        <v>0</v>
      </c>
      <c r="F31" s="498">
        <f t="shared" si="1"/>
        <v>0.72</v>
      </c>
      <c r="G31" s="497">
        <v>1569</v>
      </c>
      <c r="H31" s="497">
        <v>783</v>
      </c>
      <c r="I31" s="496">
        <v>169</v>
      </c>
      <c r="J31" s="484">
        <v>9</v>
      </c>
    </row>
    <row r="32" spans="1:10" x14ac:dyDescent="0.25">
      <c r="A32" s="496" t="s">
        <v>31</v>
      </c>
      <c r="B32" s="497">
        <v>32</v>
      </c>
      <c r="C32" s="497">
        <v>11</v>
      </c>
      <c r="D32" s="497">
        <v>21</v>
      </c>
      <c r="E32" s="497">
        <v>0</v>
      </c>
      <c r="F32" s="498">
        <f t="shared" si="1"/>
        <v>0.34375</v>
      </c>
      <c r="G32" s="497">
        <v>732</v>
      </c>
      <c r="H32" s="497">
        <v>971</v>
      </c>
      <c r="I32" s="496">
        <v>86</v>
      </c>
      <c r="J32" s="484">
        <v>8</v>
      </c>
    </row>
    <row r="33" spans="1:10" x14ac:dyDescent="0.25">
      <c r="A33" s="496" t="s">
        <v>34</v>
      </c>
      <c r="B33" s="497">
        <v>52</v>
      </c>
      <c r="C33" s="497">
        <v>36</v>
      </c>
      <c r="D33" s="497">
        <v>15</v>
      </c>
      <c r="E33" s="497">
        <v>1</v>
      </c>
      <c r="F33" s="498">
        <f t="shared" si="1"/>
        <v>0.70192307692307687</v>
      </c>
      <c r="G33" s="497">
        <v>1585</v>
      </c>
      <c r="H33" s="497">
        <v>966</v>
      </c>
      <c r="I33" s="496">
        <v>183</v>
      </c>
      <c r="J33" s="484">
        <v>9</v>
      </c>
    </row>
    <row r="34" spans="1:10" x14ac:dyDescent="0.25">
      <c r="A34" s="496" t="s">
        <v>38</v>
      </c>
      <c r="B34" s="497">
        <v>20</v>
      </c>
      <c r="C34" s="497">
        <v>5</v>
      </c>
      <c r="D34" s="497">
        <v>15</v>
      </c>
      <c r="E34" s="497">
        <v>0</v>
      </c>
      <c r="F34" s="498">
        <f t="shared" si="1"/>
        <v>0.25</v>
      </c>
      <c r="G34" s="497">
        <v>262</v>
      </c>
      <c r="H34" s="497">
        <v>646</v>
      </c>
      <c r="I34" s="496">
        <v>23</v>
      </c>
      <c r="J34" s="484">
        <v>5</v>
      </c>
    </row>
    <row r="35" spans="1:10" x14ac:dyDescent="0.25">
      <c r="A35" s="496" t="s">
        <v>39</v>
      </c>
      <c r="B35" s="497">
        <v>40</v>
      </c>
      <c r="C35" s="497">
        <v>24</v>
      </c>
      <c r="D35" s="497">
        <v>16</v>
      </c>
      <c r="E35" s="497">
        <v>0</v>
      </c>
      <c r="F35" s="498">
        <f t="shared" si="1"/>
        <v>0.6</v>
      </c>
      <c r="G35" s="497">
        <v>1108</v>
      </c>
      <c r="H35" s="497">
        <v>735</v>
      </c>
      <c r="I35" s="496">
        <v>134</v>
      </c>
      <c r="J35" s="484">
        <v>9</v>
      </c>
    </row>
    <row r="36" spans="1:10" x14ac:dyDescent="0.25">
      <c r="A36" s="496" t="s">
        <v>33</v>
      </c>
      <c r="B36" s="497">
        <v>31</v>
      </c>
      <c r="C36" s="497">
        <v>13</v>
      </c>
      <c r="D36" s="497">
        <v>18</v>
      </c>
      <c r="E36" s="497">
        <v>0</v>
      </c>
      <c r="F36" s="498">
        <f t="shared" si="1"/>
        <v>0.41935483870967744</v>
      </c>
      <c r="G36" s="497">
        <v>627</v>
      </c>
      <c r="H36" s="497">
        <v>977</v>
      </c>
      <c r="I36" s="497">
        <v>68</v>
      </c>
      <c r="J36" s="484">
        <v>9</v>
      </c>
    </row>
    <row r="37" spans="1:10" x14ac:dyDescent="0.25">
      <c r="A37" s="496" t="s">
        <v>195</v>
      </c>
      <c r="B37" s="497">
        <v>3</v>
      </c>
      <c r="C37" s="497">
        <v>0</v>
      </c>
      <c r="D37" s="497">
        <v>3</v>
      </c>
      <c r="E37" s="497">
        <v>0</v>
      </c>
      <c r="F37" s="498">
        <f t="shared" si="1"/>
        <v>0</v>
      </c>
      <c r="G37" s="497">
        <v>29</v>
      </c>
      <c r="H37" s="497">
        <v>172</v>
      </c>
      <c r="I37" s="497">
        <v>3</v>
      </c>
      <c r="J37" s="484">
        <v>1</v>
      </c>
    </row>
    <row r="38" spans="1:10" x14ac:dyDescent="0.25">
      <c r="A38" s="496" t="s">
        <v>36</v>
      </c>
      <c r="B38" s="497">
        <v>33</v>
      </c>
      <c r="C38" s="497">
        <v>8</v>
      </c>
      <c r="D38" s="497">
        <v>23</v>
      </c>
      <c r="E38" s="497">
        <v>2</v>
      </c>
      <c r="F38" s="498">
        <f t="shared" si="1"/>
        <v>0.27272727272727271</v>
      </c>
      <c r="G38" s="497">
        <v>644</v>
      </c>
      <c r="H38" s="497">
        <v>1347</v>
      </c>
      <c r="I38" s="497">
        <v>73</v>
      </c>
      <c r="J38" s="484">
        <v>9</v>
      </c>
    </row>
    <row r="39" spans="1:10" x14ac:dyDescent="0.25">
      <c r="A39" s="496" t="s">
        <v>135</v>
      </c>
      <c r="B39" s="497">
        <v>23</v>
      </c>
      <c r="C39" s="497">
        <v>0</v>
      </c>
      <c r="D39" s="497">
        <v>22</v>
      </c>
      <c r="E39" s="497">
        <v>0</v>
      </c>
      <c r="F39" s="498">
        <f t="shared" si="1"/>
        <v>0</v>
      </c>
      <c r="G39" s="497">
        <v>248</v>
      </c>
      <c r="H39" s="497">
        <v>1323</v>
      </c>
      <c r="I39" s="496">
        <v>27</v>
      </c>
      <c r="J39" s="484">
        <v>6</v>
      </c>
    </row>
    <row r="40" spans="1:10" x14ac:dyDescent="0.25">
      <c r="A40" s="496" t="s">
        <v>162</v>
      </c>
      <c r="B40" s="497">
        <v>56</v>
      </c>
      <c r="C40" s="497">
        <v>49</v>
      </c>
      <c r="D40" s="497">
        <v>7</v>
      </c>
      <c r="E40" s="497">
        <v>0</v>
      </c>
      <c r="F40" s="498">
        <f t="shared" si="1"/>
        <v>0.875</v>
      </c>
      <c r="G40" s="497">
        <v>2552</v>
      </c>
      <c r="H40" s="497">
        <v>753</v>
      </c>
      <c r="I40" s="496">
        <v>347</v>
      </c>
      <c r="J40" s="484">
        <v>9</v>
      </c>
    </row>
    <row r="41" spans="1:10" x14ac:dyDescent="0.25">
      <c r="A41" s="496" t="s">
        <v>147</v>
      </c>
      <c r="B41" s="497">
        <v>4</v>
      </c>
      <c r="C41" s="497">
        <v>0</v>
      </c>
      <c r="D41" s="497">
        <v>4</v>
      </c>
      <c r="E41" s="497">
        <v>0</v>
      </c>
      <c r="F41" s="498">
        <f t="shared" si="1"/>
        <v>0</v>
      </c>
      <c r="G41" s="497">
        <v>38</v>
      </c>
      <c r="H41" s="497">
        <v>209</v>
      </c>
      <c r="I41" s="496">
        <v>4</v>
      </c>
      <c r="J41" s="484">
        <v>1</v>
      </c>
    </row>
    <row r="42" spans="1:10" x14ac:dyDescent="0.25">
      <c r="A42" s="496" t="s">
        <v>145</v>
      </c>
      <c r="B42" s="497">
        <v>28</v>
      </c>
      <c r="C42" s="497">
        <v>6</v>
      </c>
      <c r="D42" s="497">
        <v>22</v>
      </c>
      <c r="E42" s="497">
        <v>0</v>
      </c>
      <c r="F42" s="498">
        <f t="shared" si="1"/>
        <v>0.21428571428571427</v>
      </c>
      <c r="G42" s="497">
        <v>365</v>
      </c>
      <c r="H42" s="497">
        <v>1068</v>
      </c>
      <c r="I42" s="496">
        <v>40</v>
      </c>
      <c r="J42" s="484">
        <v>8</v>
      </c>
    </row>
    <row r="43" spans="1:10" x14ac:dyDescent="0.25">
      <c r="A43" s="496" t="s">
        <v>105</v>
      </c>
      <c r="B43" s="497">
        <v>8</v>
      </c>
      <c r="C43" s="497">
        <v>0</v>
      </c>
      <c r="D43" s="497">
        <v>8</v>
      </c>
      <c r="E43" s="497">
        <v>0</v>
      </c>
      <c r="F43" s="498">
        <f t="shared" si="1"/>
        <v>0</v>
      </c>
      <c r="G43" s="497">
        <v>76</v>
      </c>
      <c r="H43" s="497">
        <v>356</v>
      </c>
      <c r="I43" s="497">
        <v>9</v>
      </c>
      <c r="J43" s="484">
        <v>2</v>
      </c>
    </row>
    <row r="44" spans="1:10" x14ac:dyDescent="0.25">
      <c r="A44" s="496" t="s">
        <v>131</v>
      </c>
      <c r="B44" s="497">
        <v>32</v>
      </c>
      <c r="C44" s="497">
        <v>13</v>
      </c>
      <c r="D44" s="497">
        <v>19</v>
      </c>
      <c r="E44" s="497">
        <v>0</v>
      </c>
      <c r="F44" s="498">
        <f t="shared" si="1"/>
        <v>0.40625</v>
      </c>
      <c r="G44" s="497">
        <v>712</v>
      </c>
      <c r="H44" s="497">
        <v>860</v>
      </c>
      <c r="I44" s="497">
        <v>83</v>
      </c>
      <c r="J44" s="484">
        <v>8</v>
      </c>
    </row>
    <row r="45" spans="1:10" x14ac:dyDescent="0.25">
      <c r="A45" s="496" t="s">
        <v>35</v>
      </c>
      <c r="B45" s="497">
        <v>42</v>
      </c>
      <c r="C45" s="497">
        <v>24</v>
      </c>
      <c r="D45" s="497">
        <v>17</v>
      </c>
      <c r="E45" s="497">
        <v>1</v>
      </c>
      <c r="F45" s="498">
        <f t="shared" si="1"/>
        <v>0.58333333333333337</v>
      </c>
      <c r="G45" s="497">
        <v>1261</v>
      </c>
      <c r="H45" s="497">
        <v>803</v>
      </c>
      <c r="I45" s="496">
        <v>146</v>
      </c>
      <c r="J45" s="484">
        <v>9</v>
      </c>
    </row>
    <row r="46" spans="1:10" x14ac:dyDescent="0.25">
      <c r="A46" s="496" t="s">
        <v>161</v>
      </c>
      <c r="B46" s="497">
        <v>43</v>
      </c>
      <c r="C46" s="497">
        <v>36</v>
      </c>
      <c r="D46" s="497">
        <v>7</v>
      </c>
      <c r="E46" s="497">
        <v>0</v>
      </c>
      <c r="F46" s="498">
        <f t="shared" si="1"/>
        <v>0.83720930232558144</v>
      </c>
      <c r="G46" s="497">
        <v>1512</v>
      </c>
      <c r="H46" s="497">
        <v>553</v>
      </c>
      <c r="I46" s="496">
        <v>174</v>
      </c>
      <c r="J46" s="484">
        <v>7</v>
      </c>
    </row>
    <row r="47" spans="1:10" x14ac:dyDescent="0.25">
      <c r="A47" s="496" t="s">
        <v>146</v>
      </c>
      <c r="B47" s="497">
        <v>3</v>
      </c>
      <c r="C47" s="497">
        <v>0</v>
      </c>
      <c r="D47" s="497">
        <v>3</v>
      </c>
      <c r="E47" s="497">
        <v>0</v>
      </c>
      <c r="F47" s="498">
        <f t="shared" si="1"/>
        <v>0</v>
      </c>
      <c r="G47" s="497">
        <v>18</v>
      </c>
      <c r="H47" s="497">
        <v>122</v>
      </c>
      <c r="I47" s="496">
        <v>0</v>
      </c>
      <c r="J47" s="484">
        <v>1</v>
      </c>
    </row>
    <row r="48" spans="1:10" x14ac:dyDescent="0.25">
      <c r="A48" s="496" t="s">
        <v>129</v>
      </c>
      <c r="B48" s="497">
        <v>29</v>
      </c>
      <c r="C48" s="497">
        <v>8</v>
      </c>
      <c r="D48" s="497">
        <v>21</v>
      </c>
      <c r="E48" s="497">
        <v>0</v>
      </c>
      <c r="F48" s="498">
        <f t="shared" si="1"/>
        <v>0.27586206896551724</v>
      </c>
      <c r="G48" s="497">
        <v>472</v>
      </c>
      <c r="H48" s="497">
        <v>966</v>
      </c>
      <c r="I48" s="496">
        <v>53</v>
      </c>
      <c r="J48" s="484">
        <v>8</v>
      </c>
    </row>
    <row r="49" spans="1:10" x14ac:dyDescent="0.25">
      <c r="A49" s="496" t="s">
        <v>198</v>
      </c>
      <c r="B49" s="497">
        <v>29</v>
      </c>
      <c r="C49" s="497">
        <v>3</v>
      </c>
      <c r="D49" s="497">
        <v>26</v>
      </c>
      <c r="E49" s="497">
        <v>0</v>
      </c>
      <c r="F49" s="498">
        <f t="shared" ref="F49:F51" si="2">SUM(C49+E49*0.5)/B49</f>
        <v>0.10344827586206896</v>
      </c>
      <c r="G49" s="497">
        <v>402</v>
      </c>
      <c r="H49" s="497">
        <v>1048</v>
      </c>
      <c r="I49" s="497">
        <v>44</v>
      </c>
      <c r="J49" s="484">
        <v>8</v>
      </c>
    </row>
    <row r="50" spans="1:10" x14ac:dyDescent="0.25">
      <c r="A50" s="496" t="s">
        <v>106</v>
      </c>
      <c r="B50" s="497">
        <v>15</v>
      </c>
      <c r="C50" s="497">
        <v>3</v>
      </c>
      <c r="D50" s="497">
        <v>12</v>
      </c>
      <c r="E50" s="497">
        <v>0</v>
      </c>
      <c r="F50" s="498">
        <f t="shared" si="2"/>
        <v>0.2</v>
      </c>
      <c r="G50" s="497">
        <v>188</v>
      </c>
      <c r="H50" s="497">
        <v>718</v>
      </c>
      <c r="I50" s="496">
        <v>18</v>
      </c>
      <c r="J50" s="484">
        <v>4</v>
      </c>
    </row>
    <row r="51" spans="1:10" x14ac:dyDescent="0.25">
      <c r="A51" s="496" t="s">
        <v>32</v>
      </c>
      <c r="B51" s="497">
        <v>44</v>
      </c>
      <c r="C51" s="497">
        <v>26</v>
      </c>
      <c r="D51" s="497">
        <v>18</v>
      </c>
      <c r="E51" s="497">
        <v>0</v>
      </c>
      <c r="F51" s="498">
        <f t="shared" si="2"/>
        <v>0.59090909090909094</v>
      </c>
      <c r="G51" s="497">
        <v>1238</v>
      </c>
      <c r="H51" s="497">
        <v>865</v>
      </c>
      <c r="I51" s="497">
        <v>149</v>
      </c>
      <c r="J51" s="484">
        <v>9</v>
      </c>
    </row>
    <row r="52" spans="1:10" x14ac:dyDescent="0.25">
      <c r="A52" s="496" t="s">
        <v>196</v>
      </c>
      <c r="B52" s="497">
        <v>6</v>
      </c>
      <c r="C52" s="497">
        <v>0</v>
      </c>
      <c r="D52" s="497">
        <v>6</v>
      </c>
      <c r="E52" s="497">
        <v>0</v>
      </c>
      <c r="F52" s="498">
        <f t="shared" ref="F52" si="3">SUM(C52+E52*0.5)/B52</f>
        <v>0</v>
      </c>
      <c r="G52" s="497">
        <v>84</v>
      </c>
      <c r="H52" s="497">
        <v>309</v>
      </c>
      <c r="I52" s="497">
        <v>11</v>
      </c>
      <c r="J52" s="484">
        <v>2</v>
      </c>
    </row>
    <row r="53" spans="1:10" x14ac:dyDescent="0.25">
      <c r="A53" s="499" t="s">
        <v>57</v>
      </c>
      <c r="B53" s="500">
        <f>SUM(B28:B52)/2</f>
        <v>374.5</v>
      </c>
      <c r="C53" s="500">
        <f>SUM(C28:C52)/2</f>
        <v>185.5</v>
      </c>
      <c r="D53" s="500">
        <f>SUM(D28:D52)/2</f>
        <v>185.5</v>
      </c>
      <c r="E53" s="500">
        <f>SUM(E28:E52)/2</f>
        <v>3</v>
      </c>
      <c r="F53" s="483" t="s">
        <v>107</v>
      </c>
      <c r="G53" s="482">
        <f>SUM(G28:G52)</f>
        <v>19158</v>
      </c>
      <c r="H53" s="482">
        <f>SUM(H28:H52)</f>
        <v>19158</v>
      </c>
      <c r="I53" s="482">
        <f>SUM(I28:I52)</f>
        <v>2247</v>
      </c>
      <c r="J53" s="500">
        <f>SUM(J28:J52)/18.5</f>
        <v>9.0810810810810807</v>
      </c>
    </row>
    <row r="54" spans="1:10" x14ac:dyDescent="0.25">
      <c r="A54" s="482" t="s">
        <v>347</v>
      </c>
      <c r="B54" s="484"/>
      <c r="C54" s="484"/>
      <c r="D54" s="484"/>
      <c r="E54" s="484"/>
      <c r="F54" s="484"/>
      <c r="G54" s="484"/>
      <c r="H54" s="484"/>
      <c r="I54" s="484"/>
      <c r="J54" s="484"/>
    </row>
    <row r="56" spans="1:10" x14ac:dyDescent="0.25">
      <c r="A56" s="574" t="s">
        <v>530</v>
      </c>
      <c r="B56" s="575"/>
      <c r="C56" s="575"/>
      <c r="D56" s="575"/>
      <c r="E56" s="575"/>
      <c r="F56" s="575"/>
      <c r="G56" s="575"/>
      <c r="H56" s="575"/>
      <c r="I56" s="575"/>
    </row>
    <row r="57" spans="1:10" x14ac:dyDescent="0.25">
      <c r="A57" s="576"/>
      <c r="B57" s="577" t="s">
        <v>170</v>
      </c>
      <c r="C57" s="577" t="s">
        <v>171</v>
      </c>
      <c r="D57" s="577" t="s">
        <v>172</v>
      </c>
      <c r="E57" s="577" t="s">
        <v>177</v>
      </c>
      <c r="F57" s="577" t="s">
        <v>173</v>
      </c>
      <c r="G57" s="577" t="s">
        <v>174</v>
      </c>
      <c r="H57" s="577" t="s">
        <v>175</v>
      </c>
      <c r="I57" s="577" t="s">
        <v>176</v>
      </c>
    </row>
    <row r="58" spans="1:10" x14ac:dyDescent="0.25">
      <c r="A58" s="575" t="s">
        <v>30</v>
      </c>
      <c r="B58" s="578">
        <f>478+Englandplayed</f>
        <v>483</v>
      </c>
      <c r="C58" s="578">
        <f>261+Englandwon</f>
        <v>265</v>
      </c>
      <c r="D58" s="578">
        <f>177+Englandlost</f>
        <v>178</v>
      </c>
      <c r="E58" s="578">
        <f>40+Englanddrawn</f>
        <v>40</v>
      </c>
      <c r="F58" s="579">
        <f t="shared" ref="F58:F62" si="4">SUM(C58+E58*0.5)/B58</f>
        <v>0.59006211180124224</v>
      </c>
      <c r="G58" s="578">
        <f>6859+Englandptsscored</f>
        <v>6980</v>
      </c>
      <c r="H58" s="578">
        <f>5108+Englandptsagainst</f>
        <v>5185</v>
      </c>
      <c r="I58" s="575">
        <f>951+Englandtriesscored</f>
        <v>965</v>
      </c>
    </row>
    <row r="59" spans="1:10" x14ac:dyDescent="0.25">
      <c r="A59" s="575" t="s">
        <v>34</v>
      </c>
      <c r="B59" s="578">
        <f>379+Franceplayed</f>
        <v>384</v>
      </c>
      <c r="C59" s="578">
        <f>194+Francewon</f>
        <v>198</v>
      </c>
      <c r="D59" s="578">
        <f>166+Francelost</f>
        <v>167</v>
      </c>
      <c r="E59" s="578">
        <f>19+Francedrawn</f>
        <v>19</v>
      </c>
      <c r="F59" s="579">
        <f t="shared" si="4"/>
        <v>0.54036458333333337</v>
      </c>
      <c r="G59" s="578">
        <f>5713+Franceptsscored</f>
        <v>5851</v>
      </c>
      <c r="H59" s="578">
        <f>5099+Franceptsagainst</f>
        <v>5216</v>
      </c>
      <c r="I59" s="575">
        <f>713+Francetriesscored</f>
        <v>730</v>
      </c>
    </row>
    <row r="60" spans="1:10" x14ac:dyDescent="0.25">
      <c r="A60" s="575" t="s">
        <v>39</v>
      </c>
      <c r="B60" s="578">
        <f>478+Irelandplayed</f>
        <v>483</v>
      </c>
      <c r="C60" s="578">
        <f>208+Irelandwon</f>
        <v>211</v>
      </c>
      <c r="D60" s="578">
        <f>244+Irelandlost</f>
        <v>246</v>
      </c>
      <c r="E60" s="578">
        <f>26+Irelanddrawn</f>
        <v>26</v>
      </c>
      <c r="F60" s="579">
        <f t="shared" si="4"/>
        <v>0.46376811594202899</v>
      </c>
      <c r="G60" s="578">
        <f>5628+Irelandptsscored</f>
        <v>5760</v>
      </c>
      <c r="H60" s="578">
        <f>5947+Irelandptsagainst</f>
        <v>6049</v>
      </c>
      <c r="I60" s="575">
        <f>736+Irelandtriesscored</f>
        <v>753</v>
      </c>
    </row>
    <row r="61" spans="1:10" x14ac:dyDescent="0.25">
      <c r="A61" s="575" t="s">
        <v>33</v>
      </c>
      <c r="B61" s="578">
        <f>100+Italyplayed</f>
        <v>105</v>
      </c>
      <c r="C61" s="578">
        <f>12+Italywon</f>
        <v>12</v>
      </c>
      <c r="D61" s="578">
        <f>87+Italylost</f>
        <v>92</v>
      </c>
      <c r="E61" s="578">
        <f>1+Italydrawn</f>
        <v>1</v>
      </c>
      <c r="F61" s="579">
        <f t="shared" si="4"/>
        <v>0.11904761904761904</v>
      </c>
      <c r="G61" s="578">
        <f>1460+Italyptsscored</f>
        <v>1504</v>
      </c>
      <c r="H61" s="578">
        <f>3363+Italyptsagainst</f>
        <v>3541</v>
      </c>
      <c r="I61" s="578">
        <f>133+Italytriesscored</f>
        <v>139</v>
      </c>
    </row>
    <row r="62" spans="1:10" x14ac:dyDescent="0.25">
      <c r="A62" s="575" t="s">
        <v>35</v>
      </c>
      <c r="B62" s="578">
        <f>479+Scotlandplayed</f>
        <v>484</v>
      </c>
      <c r="C62" s="578">
        <f>197+Scotlandwon</f>
        <v>200</v>
      </c>
      <c r="D62" s="578">
        <f>258+Scotlandlost</f>
        <v>260</v>
      </c>
      <c r="E62" s="578">
        <f>24+Scotlanddrawn</f>
        <v>24</v>
      </c>
      <c r="F62" s="579">
        <f t="shared" si="4"/>
        <v>0.43801652892561982</v>
      </c>
      <c r="G62" s="578">
        <f>5336+Scotlandptsscored</f>
        <v>5413</v>
      </c>
      <c r="H62" s="578">
        <f>6340+Scotlandptsagainst</f>
        <v>6399</v>
      </c>
      <c r="I62" s="575">
        <f>726+Scotlandtriesscored</f>
        <v>733</v>
      </c>
    </row>
    <row r="63" spans="1:10" x14ac:dyDescent="0.25">
      <c r="A63" s="575" t="s">
        <v>32</v>
      </c>
      <c r="B63" s="578">
        <f>476+Walesplayed</f>
        <v>481</v>
      </c>
      <c r="C63" s="578">
        <f>255+Waleswon</f>
        <v>256</v>
      </c>
      <c r="D63" s="578">
        <f>195+Waleslost</f>
        <v>199</v>
      </c>
      <c r="E63" s="578">
        <f>26+Walesdrawn</f>
        <v>26</v>
      </c>
      <c r="F63" s="579">
        <f t="shared" ref="F63" si="5">SUM(C63+E63*0.5)/B63</f>
        <v>0.55925155925155923</v>
      </c>
      <c r="G63" s="578">
        <f>6506+Walesptsscored</f>
        <v>6625</v>
      </c>
      <c r="H63" s="578">
        <f>5645+Walesptsagainst</f>
        <v>5743</v>
      </c>
      <c r="I63" s="578">
        <f>894+Walestriesscored</f>
        <v>907</v>
      </c>
    </row>
    <row r="64" spans="1:10" x14ac:dyDescent="0.25">
      <c r="A64" s="574" t="s">
        <v>528</v>
      </c>
      <c r="B64" s="575"/>
      <c r="C64" s="575"/>
      <c r="D64" s="575"/>
      <c r="E64" s="575"/>
      <c r="F64" s="575"/>
      <c r="G64" s="575"/>
      <c r="H64" s="575"/>
      <c r="I64" s="575"/>
    </row>
    <row r="66" spans="1:9" x14ac:dyDescent="0.25">
      <c r="A66" s="574" t="s">
        <v>239</v>
      </c>
      <c r="B66" s="575"/>
      <c r="C66" s="575"/>
      <c r="D66" s="575"/>
      <c r="E66" s="575"/>
      <c r="F66" s="575"/>
      <c r="G66" s="575"/>
      <c r="H66" s="575"/>
      <c r="I66" s="575"/>
    </row>
    <row r="67" spans="1:9" x14ac:dyDescent="0.25">
      <c r="A67" s="576"/>
      <c r="B67" s="577" t="s">
        <v>170</v>
      </c>
      <c r="C67" s="577" t="s">
        <v>171</v>
      </c>
      <c r="D67" s="577" t="s">
        <v>172</v>
      </c>
      <c r="E67" s="577" t="s">
        <v>177</v>
      </c>
      <c r="F67" s="577" t="s">
        <v>173</v>
      </c>
      <c r="G67" s="577" t="s">
        <v>174</v>
      </c>
      <c r="H67" s="577" t="s">
        <v>175</v>
      </c>
      <c r="I67" s="577" t="s">
        <v>176</v>
      </c>
    </row>
    <row r="68" spans="1:9" x14ac:dyDescent="0.25">
      <c r="A68" s="575" t="s">
        <v>30</v>
      </c>
      <c r="B68" s="578">
        <f>100+Englandplayed</f>
        <v>105</v>
      </c>
      <c r="C68" s="578">
        <f>69+Englandwon</f>
        <v>73</v>
      </c>
      <c r="D68" s="578">
        <f>29+Englandlost</f>
        <v>30</v>
      </c>
      <c r="E68" s="578">
        <f>2+Englanddrawn</f>
        <v>2</v>
      </c>
      <c r="F68" s="579">
        <f t="shared" ref="F68:F73" si="6">SUM(C68+E68*0.5)/B68</f>
        <v>0.70476190476190481</v>
      </c>
      <c r="G68" s="578">
        <f>2782+Englandptsscored</f>
        <v>2903</v>
      </c>
      <c r="H68" s="578">
        <f>1601+Englandptsagainst</f>
        <v>1678</v>
      </c>
      <c r="I68" s="575">
        <f>299+Englandtriesscored</f>
        <v>313</v>
      </c>
    </row>
    <row r="69" spans="1:9" x14ac:dyDescent="0.25">
      <c r="A69" s="575" t="s">
        <v>34</v>
      </c>
      <c r="B69" s="578">
        <f>100+Franceplayed</f>
        <v>105</v>
      </c>
      <c r="C69" s="578">
        <f>61+Francewon</f>
        <v>65</v>
      </c>
      <c r="D69" s="578">
        <f>37+Francelost</f>
        <v>38</v>
      </c>
      <c r="E69" s="578">
        <f>2+Francedrawn</f>
        <v>2</v>
      </c>
      <c r="F69" s="579">
        <f t="shared" si="6"/>
        <v>0.62857142857142856</v>
      </c>
      <c r="G69" s="578">
        <f>2392+Franceptsscored</f>
        <v>2530</v>
      </c>
      <c r="H69" s="578">
        <f>1836+Franceptsagainst</f>
        <v>1953</v>
      </c>
      <c r="I69" s="575">
        <f>228+Francetriesscored</f>
        <v>245</v>
      </c>
    </row>
    <row r="70" spans="1:9" x14ac:dyDescent="0.25">
      <c r="A70" s="575" t="s">
        <v>39</v>
      </c>
      <c r="B70" s="578">
        <f>100+Irelandplayed</f>
        <v>105</v>
      </c>
      <c r="C70" s="578">
        <f>66+Irelandwon</f>
        <v>69</v>
      </c>
      <c r="D70" s="578">
        <f>31+Irelandlost</f>
        <v>33</v>
      </c>
      <c r="E70" s="578">
        <f>3+Irelanddrawn</f>
        <v>3</v>
      </c>
      <c r="F70" s="579">
        <f t="shared" si="6"/>
        <v>0.67142857142857137</v>
      </c>
      <c r="G70" s="578">
        <f>2467+Irelandptsscored</f>
        <v>2599</v>
      </c>
      <c r="H70" s="578">
        <f>1795+Irelandptsagainst</f>
        <v>1897</v>
      </c>
      <c r="I70" s="575">
        <f>259+Irelandtriesscored</f>
        <v>276</v>
      </c>
    </row>
    <row r="71" spans="1:9" x14ac:dyDescent="0.25">
      <c r="A71" s="575" t="s">
        <v>33</v>
      </c>
      <c r="B71" s="578">
        <f>100+Italyplayed</f>
        <v>105</v>
      </c>
      <c r="C71" s="578">
        <f>12+Italywon</f>
        <v>12</v>
      </c>
      <c r="D71" s="578">
        <f>87+Italylost</f>
        <v>92</v>
      </c>
      <c r="E71" s="578">
        <f>1+Italydrawn</f>
        <v>1</v>
      </c>
      <c r="F71" s="579">
        <f t="shared" si="6"/>
        <v>0.11904761904761904</v>
      </c>
      <c r="G71" s="578">
        <f>1460+Italyptsscored</f>
        <v>1504</v>
      </c>
      <c r="H71" s="578">
        <f>3363+Italyptsagainst</f>
        <v>3541</v>
      </c>
      <c r="I71" s="578">
        <f>133+Italytriesscored</f>
        <v>139</v>
      </c>
    </row>
    <row r="72" spans="1:9" x14ac:dyDescent="0.25">
      <c r="A72" s="575" t="s">
        <v>35</v>
      </c>
      <c r="B72" s="578">
        <f>100+Scotlandplayed</f>
        <v>105</v>
      </c>
      <c r="C72" s="578">
        <f>28+Scotlandwon</f>
        <v>31</v>
      </c>
      <c r="D72" s="578">
        <f>69+Scotlandlost</f>
        <v>71</v>
      </c>
      <c r="E72" s="578">
        <f>3+Scotlanddrawn</f>
        <v>3</v>
      </c>
      <c r="F72" s="579">
        <f t="shared" si="6"/>
        <v>0.30952380952380953</v>
      </c>
      <c r="G72" s="578">
        <f>1706+Scotlandptsscored</f>
        <v>1783</v>
      </c>
      <c r="H72" s="578">
        <f>2486+Scotlandptsagainst</f>
        <v>2545</v>
      </c>
      <c r="I72" s="575">
        <f>141+Scotlandtriesscored</f>
        <v>148</v>
      </c>
    </row>
    <row r="73" spans="1:9" x14ac:dyDescent="0.25">
      <c r="A73" s="575" t="s">
        <v>32</v>
      </c>
      <c r="B73" s="578">
        <f>100+Walesplayed</f>
        <v>105</v>
      </c>
      <c r="C73" s="578">
        <f>57+Waleswon</f>
        <v>58</v>
      </c>
      <c r="D73" s="578">
        <f>40+Waleslost</f>
        <v>44</v>
      </c>
      <c r="E73" s="578">
        <f>3+Walesdrawn</f>
        <v>3</v>
      </c>
      <c r="F73" s="579">
        <f t="shared" si="6"/>
        <v>0.56666666666666665</v>
      </c>
      <c r="G73" s="578">
        <f>2319+Walesptsscored</f>
        <v>2438</v>
      </c>
      <c r="H73" s="578">
        <f>2045+Walesptsagainst</f>
        <v>2143</v>
      </c>
      <c r="I73" s="578">
        <f>214+Walestriesscored</f>
        <v>227</v>
      </c>
    </row>
    <row r="74" spans="1:9" x14ac:dyDescent="0.25">
      <c r="A74" s="574" t="s">
        <v>528</v>
      </c>
      <c r="B74" s="575"/>
      <c r="C74" s="575"/>
      <c r="D74" s="575"/>
      <c r="E74" s="575"/>
      <c r="F74" s="575"/>
      <c r="G74" s="575"/>
      <c r="H74" s="575"/>
      <c r="I74" s="575"/>
    </row>
    <row r="75" spans="1:9" x14ac:dyDescent="0.25">
      <c r="A75" s="634" t="s">
        <v>28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T18"/>
  <sheetViews>
    <sheetView workbookViewId="0">
      <pane ySplit="2" topLeftCell="A3" activePane="bottomLeft" state="frozen"/>
      <selection pane="bottomLeft" activeCell="K17" sqref="K17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625" customWidth="1"/>
    <col min="19" max="20" width="6.375" customWidth="1"/>
    <col min="21" max="21" width="28.5" bestFit="1" customWidth="1"/>
    <col min="22" max="22" width="22" customWidth="1"/>
    <col min="23" max="23" width="30.5" bestFit="1" customWidth="1"/>
    <col min="24" max="24" width="30.5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757" t="s">
        <v>344</v>
      </c>
      <c r="B1" s="758"/>
      <c r="C1" s="758"/>
      <c r="D1" s="150"/>
      <c r="E1" s="759" t="s">
        <v>24</v>
      </c>
      <c r="F1" s="760"/>
      <c r="G1" s="761"/>
      <c r="H1" s="759" t="s">
        <v>23</v>
      </c>
      <c r="I1" s="761"/>
      <c r="J1" s="754" t="s">
        <v>6</v>
      </c>
      <c r="K1" s="755"/>
      <c r="L1" s="755"/>
      <c r="M1" s="756"/>
      <c r="N1" s="754" t="s">
        <v>7</v>
      </c>
      <c r="O1" s="756"/>
      <c r="P1" s="754" t="s">
        <v>25</v>
      </c>
      <c r="Q1" s="755"/>
      <c r="R1" s="756"/>
      <c r="S1" s="523" t="s">
        <v>8</v>
      </c>
      <c r="T1" s="523" t="s">
        <v>9</v>
      </c>
      <c r="U1" s="17" t="s">
        <v>10</v>
      </c>
      <c r="V1" s="16" t="s">
        <v>11</v>
      </c>
      <c r="W1" s="18" t="s">
        <v>26</v>
      </c>
      <c r="X1" s="172" t="s">
        <v>27</v>
      </c>
      <c r="Y1" s="751" t="s">
        <v>20</v>
      </c>
      <c r="Z1" s="747"/>
      <c r="AA1" s="747"/>
      <c r="AB1" s="748"/>
      <c r="AC1" s="751" t="s">
        <v>61</v>
      </c>
      <c r="AD1" s="747"/>
      <c r="AE1" s="747"/>
      <c r="AF1" s="748"/>
      <c r="AG1" s="751" t="s">
        <v>62</v>
      </c>
      <c r="AH1" s="747"/>
      <c r="AI1" s="747"/>
      <c r="AJ1" s="748"/>
      <c r="AK1" s="751" t="s">
        <v>63</v>
      </c>
      <c r="AL1" s="752"/>
      <c r="AM1" s="752"/>
      <c r="AN1" s="753"/>
      <c r="AP1" s="506" t="s">
        <v>181</v>
      </c>
      <c r="AQ1" s="14"/>
      <c r="AS1" s="506" t="s">
        <v>181</v>
      </c>
    </row>
    <row r="2" spans="1:46" ht="14.95" customHeight="1" thickBot="1" x14ac:dyDescent="0.3">
      <c r="A2" s="19" t="s">
        <v>19</v>
      </c>
      <c r="B2" s="20" t="s">
        <v>18</v>
      </c>
      <c r="C2" s="21" t="s">
        <v>17</v>
      </c>
      <c r="D2" s="21" t="s">
        <v>41</v>
      </c>
      <c r="E2" s="22" t="s">
        <v>16</v>
      </c>
      <c r="F2" s="22" t="s">
        <v>4</v>
      </c>
      <c r="G2" s="22" t="s">
        <v>5</v>
      </c>
      <c r="H2" s="23" t="s">
        <v>12</v>
      </c>
      <c r="I2" s="23" t="s">
        <v>3</v>
      </c>
      <c r="J2" s="23" t="s">
        <v>12</v>
      </c>
      <c r="K2" s="23" t="s">
        <v>13</v>
      </c>
      <c r="L2" s="23" t="s">
        <v>2</v>
      </c>
      <c r="M2" s="23" t="s">
        <v>14</v>
      </c>
      <c r="N2" s="23" t="s">
        <v>15</v>
      </c>
      <c r="O2" s="23" t="s">
        <v>16</v>
      </c>
      <c r="P2" s="23" t="s">
        <v>21</v>
      </c>
      <c r="Q2" s="23" t="s">
        <v>22</v>
      </c>
      <c r="R2" s="23" t="s">
        <v>12</v>
      </c>
      <c r="S2" s="24"/>
      <c r="T2" s="25"/>
      <c r="U2" s="26"/>
      <c r="V2" s="24"/>
      <c r="W2" s="173"/>
      <c r="X2" s="27"/>
      <c r="Y2" s="435" t="s">
        <v>0</v>
      </c>
      <c r="Z2" s="435" t="s">
        <v>1</v>
      </c>
      <c r="AA2" s="435" t="s">
        <v>2</v>
      </c>
      <c r="AB2" s="435" t="s">
        <v>3</v>
      </c>
      <c r="AC2" s="435" t="s">
        <v>0</v>
      </c>
      <c r="AD2" s="435" t="s">
        <v>1</v>
      </c>
      <c r="AE2" s="435" t="s">
        <v>2</v>
      </c>
      <c r="AF2" s="435" t="s">
        <v>3</v>
      </c>
      <c r="AG2" s="435" t="s">
        <v>0</v>
      </c>
      <c r="AH2" s="435" t="s">
        <v>1</v>
      </c>
      <c r="AI2" s="435" t="s">
        <v>2</v>
      </c>
      <c r="AJ2" s="435" t="s">
        <v>3</v>
      </c>
      <c r="AK2" s="435" t="s">
        <v>0</v>
      </c>
      <c r="AL2" s="435" t="s">
        <v>1</v>
      </c>
      <c r="AM2" s="435" t="s">
        <v>2</v>
      </c>
      <c r="AN2" s="435" t="s">
        <v>3</v>
      </c>
      <c r="AP2" s="481" t="s">
        <v>108</v>
      </c>
      <c r="AQ2" s="249"/>
      <c r="AS2" s="482" t="s">
        <v>167</v>
      </c>
      <c r="AT2" s="249"/>
    </row>
    <row r="3" spans="1:46" ht="14.95" customHeight="1" thickBot="1" x14ac:dyDescent="0.3">
      <c r="A3" s="183">
        <v>44115</v>
      </c>
      <c r="B3" s="174" t="s">
        <v>345</v>
      </c>
      <c r="C3" s="174" t="s">
        <v>120</v>
      </c>
      <c r="D3" s="174" t="s">
        <v>163</v>
      </c>
      <c r="E3" s="175" t="s">
        <v>2</v>
      </c>
      <c r="F3" s="175">
        <v>16</v>
      </c>
      <c r="G3" s="175">
        <v>16</v>
      </c>
      <c r="H3" s="175" t="s">
        <v>107</v>
      </c>
      <c r="I3" s="175" t="s">
        <v>107</v>
      </c>
      <c r="J3" s="175">
        <v>2</v>
      </c>
      <c r="K3" s="175">
        <v>0</v>
      </c>
      <c r="L3" s="175">
        <v>0</v>
      </c>
      <c r="M3" s="175">
        <v>2</v>
      </c>
      <c r="N3" s="175">
        <v>0</v>
      </c>
      <c r="O3" s="175">
        <v>0</v>
      </c>
      <c r="P3" s="175" t="s">
        <v>107</v>
      </c>
      <c r="Q3" s="175" t="s">
        <v>107</v>
      </c>
      <c r="R3" s="175">
        <v>2</v>
      </c>
      <c r="S3" s="176">
        <v>31020</v>
      </c>
      <c r="T3" s="219" t="s">
        <v>217</v>
      </c>
      <c r="U3" s="177" t="s">
        <v>149</v>
      </c>
      <c r="V3" s="176" t="s">
        <v>207</v>
      </c>
      <c r="W3" s="178" t="s">
        <v>150</v>
      </c>
      <c r="X3" s="179" t="s">
        <v>151</v>
      </c>
      <c r="Y3" s="180">
        <v>1</v>
      </c>
      <c r="Z3" s="180">
        <v>0</v>
      </c>
      <c r="AA3" s="180">
        <v>1</v>
      </c>
      <c r="AB3" s="181">
        <v>0</v>
      </c>
      <c r="AC3" s="180">
        <v>1</v>
      </c>
      <c r="AD3" s="180">
        <v>0</v>
      </c>
      <c r="AE3" s="180">
        <v>1</v>
      </c>
      <c r="AF3" s="181">
        <v>0</v>
      </c>
      <c r="AG3" s="180">
        <v>0</v>
      </c>
      <c r="AH3" s="180">
        <v>0</v>
      </c>
      <c r="AI3" s="180">
        <v>0</v>
      </c>
      <c r="AJ3" s="181">
        <v>0</v>
      </c>
      <c r="AK3" s="180">
        <v>0</v>
      </c>
      <c r="AL3" s="180">
        <v>0</v>
      </c>
      <c r="AM3" s="180">
        <v>0</v>
      </c>
      <c r="AN3" s="181">
        <v>0</v>
      </c>
      <c r="AP3" s="501" t="s">
        <v>170</v>
      </c>
      <c r="AQ3" s="502">
        <f>Australiaalltestshistplayed</f>
        <v>647</v>
      </c>
      <c r="AS3" s="501" t="s">
        <v>170</v>
      </c>
      <c r="AT3" s="502">
        <f>AustraliaWChistplayed</f>
        <v>53</v>
      </c>
    </row>
    <row r="4" spans="1:46" ht="15.8" customHeight="1" thickBot="1" x14ac:dyDescent="0.3">
      <c r="A4" s="183">
        <v>44122</v>
      </c>
      <c r="B4" s="174" t="s">
        <v>345</v>
      </c>
      <c r="C4" s="174" t="s">
        <v>120</v>
      </c>
      <c r="D4" s="174" t="s">
        <v>165</v>
      </c>
      <c r="E4" s="175" t="s">
        <v>3</v>
      </c>
      <c r="F4" s="175">
        <v>7</v>
      </c>
      <c r="G4" s="175">
        <v>27</v>
      </c>
      <c r="H4" s="175" t="s">
        <v>107</v>
      </c>
      <c r="I4" s="175" t="s">
        <v>107</v>
      </c>
      <c r="J4" s="175">
        <v>1</v>
      </c>
      <c r="K4" s="175">
        <v>1</v>
      </c>
      <c r="L4" s="175">
        <v>0</v>
      </c>
      <c r="M4" s="175">
        <v>0</v>
      </c>
      <c r="N4" s="175">
        <v>0</v>
      </c>
      <c r="O4" s="175">
        <v>0</v>
      </c>
      <c r="P4" s="175" t="s">
        <v>107</v>
      </c>
      <c r="Q4" s="175" t="s">
        <v>107</v>
      </c>
      <c r="R4" s="175">
        <v>4</v>
      </c>
      <c r="S4" s="178">
        <v>46049</v>
      </c>
      <c r="T4" s="382" t="s">
        <v>208</v>
      </c>
      <c r="U4" s="190" t="s">
        <v>151</v>
      </c>
      <c r="V4" s="178" t="s">
        <v>207</v>
      </c>
      <c r="W4" s="178" t="s">
        <v>150</v>
      </c>
      <c r="X4" s="196" t="s">
        <v>149</v>
      </c>
      <c r="Y4" s="180">
        <v>1</v>
      </c>
      <c r="Z4" s="180">
        <v>0</v>
      </c>
      <c r="AA4" s="180">
        <v>0</v>
      </c>
      <c r="AB4" s="181">
        <v>1</v>
      </c>
      <c r="AC4" s="180">
        <v>0</v>
      </c>
      <c r="AD4" s="180">
        <v>0</v>
      </c>
      <c r="AE4" s="180">
        <v>0</v>
      </c>
      <c r="AF4" s="181">
        <v>0</v>
      </c>
      <c r="AG4" s="180">
        <v>1</v>
      </c>
      <c r="AH4" s="180">
        <v>0</v>
      </c>
      <c r="AI4" s="180">
        <v>0</v>
      </c>
      <c r="AJ4" s="181">
        <v>1</v>
      </c>
      <c r="AK4" s="180">
        <v>0</v>
      </c>
      <c r="AL4" s="180">
        <v>0</v>
      </c>
      <c r="AM4" s="180">
        <v>0</v>
      </c>
      <c r="AN4" s="181">
        <v>0</v>
      </c>
      <c r="AP4" s="503" t="s">
        <v>171</v>
      </c>
      <c r="AQ4" s="504">
        <f>Australiaalltestshistwon</f>
        <v>332</v>
      </c>
      <c r="AS4" s="503" t="s">
        <v>171</v>
      </c>
      <c r="AT4" s="504">
        <f>AustraliaWChistwon</f>
        <v>42</v>
      </c>
    </row>
    <row r="5" spans="1:46" ht="14.95" customHeight="1" thickBot="1" x14ac:dyDescent="0.3">
      <c r="A5" s="191">
        <v>44135</v>
      </c>
      <c r="B5" s="226" t="s">
        <v>446</v>
      </c>
      <c r="C5" s="192" t="s">
        <v>120</v>
      </c>
      <c r="D5" s="192" t="s">
        <v>348</v>
      </c>
      <c r="E5" s="193" t="s">
        <v>3</v>
      </c>
      <c r="F5" s="193">
        <v>5</v>
      </c>
      <c r="G5" s="227">
        <v>43</v>
      </c>
      <c r="H5" s="227">
        <v>0</v>
      </c>
      <c r="I5" s="193">
        <v>0</v>
      </c>
      <c r="J5" s="193">
        <v>1</v>
      </c>
      <c r="K5" s="193">
        <v>0</v>
      </c>
      <c r="L5" s="193">
        <v>0</v>
      </c>
      <c r="M5" s="193">
        <v>0</v>
      </c>
      <c r="N5" s="193">
        <v>1</v>
      </c>
      <c r="O5" s="193">
        <v>0</v>
      </c>
      <c r="P5" s="193">
        <v>1</v>
      </c>
      <c r="Q5" s="193">
        <v>0</v>
      </c>
      <c r="R5" s="193">
        <v>6</v>
      </c>
      <c r="S5" s="194">
        <v>25689</v>
      </c>
      <c r="T5" s="364" t="s">
        <v>403</v>
      </c>
      <c r="U5" s="228" t="s">
        <v>150</v>
      </c>
      <c r="V5" s="194" t="s">
        <v>151</v>
      </c>
      <c r="W5" s="194" t="s">
        <v>149</v>
      </c>
      <c r="X5" s="195" t="s">
        <v>404</v>
      </c>
      <c r="Y5" s="208">
        <v>1</v>
      </c>
      <c r="Z5" s="208">
        <v>0</v>
      </c>
      <c r="AA5" s="208">
        <v>0</v>
      </c>
      <c r="AB5" s="209">
        <v>1</v>
      </c>
      <c r="AC5" s="208">
        <v>1</v>
      </c>
      <c r="AD5" s="208">
        <v>0</v>
      </c>
      <c r="AE5" s="208">
        <v>0</v>
      </c>
      <c r="AF5" s="209">
        <v>1</v>
      </c>
      <c r="AG5" s="208">
        <v>0</v>
      </c>
      <c r="AH5" s="208">
        <v>0</v>
      </c>
      <c r="AI5" s="208">
        <v>0</v>
      </c>
      <c r="AJ5" s="209">
        <v>0</v>
      </c>
      <c r="AK5" s="208">
        <v>0</v>
      </c>
      <c r="AL5" s="208">
        <v>0</v>
      </c>
      <c r="AM5" s="208">
        <v>0</v>
      </c>
      <c r="AN5" s="209">
        <v>0</v>
      </c>
      <c r="AP5" s="503" t="s">
        <v>177</v>
      </c>
      <c r="AQ5" s="504">
        <f>Australiaalltestshistdrawn</f>
        <v>19</v>
      </c>
      <c r="AS5" s="503" t="s">
        <v>177</v>
      </c>
      <c r="AT5" s="504">
        <f>AustraliaWChistdrawn</f>
        <v>0</v>
      </c>
    </row>
    <row r="6" spans="1:46" ht="14.95" customHeight="1" thickBot="1" x14ac:dyDescent="0.3">
      <c r="A6" s="191">
        <v>44142</v>
      </c>
      <c r="B6" s="226" t="s">
        <v>446</v>
      </c>
      <c r="C6" s="192" t="s">
        <v>120</v>
      </c>
      <c r="D6" s="192" t="s">
        <v>164</v>
      </c>
      <c r="E6" s="193" t="s">
        <v>1</v>
      </c>
      <c r="F6" s="193">
        <v>24</v>
      </c>
      <c r="G6" s="227">
        <v>22</v>
      </c>
      <c r="H6" s="227">
        <v>0</v>
      </c>
      <c r="I6" s="193">
        <v>0</v>
      </c>
      <c r="J6" s="193">
        <v>2</v>
      </c>
      <c r="K6" s="193">
        <v>1</v>
      </c>
      <c r="L6" s="193">
        <v>0</v>
      </c>
      <c r="M6" s="193">
        <v>4</v>
      </c>
      <c r="N6" s="193">
        <v>1</v>
      </c>
      <c r="O6" s="193">
        <v>1</v>
      </c>
      <c r="P6" s="193">
        <v>0</v>
      </c>
      <c r="Q6" s="193">
        <v>1</v>
      </c>
      <c r="R6" s="193">
        <v>3</v>
      </c>
      <c r="S6" s="194">
        <v>36626</v>
      </c>
      <c r="T6" s="636" t="s">
        <v>444</v>
      </c>
      <c r="U6" s="228" t="s">
        <v>404</v>
      </c>
      <c r="V6" s="194" t="s">
        <v>149</v>
      </c>
      <c r="W6" s="194" t="s">
        <v>150</v>
      </c>
      <c r="X6" s="195" t="s">
        <v>151</v>
      </c>
      <c r="Y6" s="208">
        <v>1</v>
      </c>
      <c r="Z6" s="208">
        <v>1</v>
      </c>
      <c r="AA6" s="208">
        <v>0</v>
      </c>
      <c r="AB6" s="209">
        <v>0</v>
      </c>
      <c r="AC6" s="208">
        <v>1</v>
      </c>
      <c r="AD6" s="208">
        <v>1</v>
      </c>
      <c r="AE6" s="208">
        <v>0</v>
      </c>
      <c r="AF6" s="209">
        <v>0</v>
      </c>
      <c r="AG6" s="208">
        <v>0</v>
      </c>
      <c r="AH6" s="208">
        <v>0</v>
      </c>
      <c r="AI6" s="208">
        <v>0</v>
      </c>
      <c r="AJ6" s="209">
        <v>0</v>
      </c>
      <c r="AK6" s="208">
        <v>0</v>
      </c>
      <c r="AL6" s="208">
        <v>0</v>
      </c>
      <c r="AM6" s="208">
        <v>0</v>
      </c>
      <c r="AN6" s="209">
        <v>0</v>
      </c>
      <c r="AP6" s="503" t="s">
        <v>172</v>
      </c>
      <c r="AQ6" s="504">
        <f>Australiaalltestshistlost</f>
        <v>298</v>
      </c>
      <c r="AS6" s="503" t="s">
        <v>172</v>
      </c>
      <c r="AT6" s="504">
        <f>AustraliaWChistlost</f>
        <v>11</v>
      </c>
    </row>
    <row r="7" spans="1:46" ht="14.95" customHeight="1" thickBot="1" x14ac:dyDescent="0.3">
      <c r="A7" s="191">
        <v>44156</v>
      </c>
      <c r="B7" s="226" t="s">
        <v>446</v>
      </c>
      <c r="C7" s="192" t="s">
        <v>37</v>
      </c>
      <c r="D7" s="192" t="s">
        <v>350</v>
      </c>
      <c r="E7" s="193" t="s">
        <v>2</v>
      </c>
      <c r="F7" s="193">
        <v>15</v>
      </c>
      <c r="G7" s="227">
        <v>15</v>
      </c>
      <c r="H7" s="362">
        <v>0</v>
      </c>
      <c r="I7" s="227">
        <v>0</v>
      </c>
      <c r="J7" s="193">
        <v>0</v>
      </c>
      <c r="K7" s="193">
        <v>0</v>
      </c>
      <c r="L7" s="193">
        <v>0</v>
      </c>
      <c r="M7" s="193">
        <v>5</v>
      </c>
      <c r="N7" s="193">
        <v>0</v>
      </c>
      <c r="O7" s="193">
        <v>0</v>
      </c>
      <c r="P7" s="193">
        <v>0</v>
      </c>
      <c r="Q7" s="193">
        <v>0</v>
      </c>
      <c r="R7" s="193">
        <v>0</v>
      </c>
      <c r="S7" s="194">
        <v>12000</v>
      </c>
      <c r="T7" s="364" t="s">
        <v>469</v>
      </c>
      <c r="U7" s="228" t="s">
        <v>149</v>
      </c>
      <c r="V7" s="194" t="s">
        <v>404</v>
      </c>
      <c r="W7" s="194" t="s">
        <v>150</v>
      </c>
      <c r="X7" s="195" t="s">
        <v>151</v>
      </c>
      <c r="Y7" s="208">
        <v>1</v>
      </c>
      <c r="Z7" s="208">
        <v>0</v>
      </c>
      <c r="AA7" s="208">
        <v>1</v>
      </c>
      <c r="AB7" s="209">
        <v>0</v>
      </c>
      <c r="AC7" s="208">
        <v>1</v>
      </c>
      <c r="AD7" s="208">
        <v>0</v>
      </c>
      <c r="AE7" s="208">
        <v>1</v>
      </c>
      <c r="AF7" s="209">
        <v>0</v>
      </c>
      <c r="AG7" s="208">
        <v>0</v>
      </c>
      <c r="AH7" s="208">
        <v>0</v>
      </c>
      <c r="AI7" s="208">
        <v>0</v>
      </c>
      <c r="AJ7" s="209">
        <v>0</v>
      </c>
      <c r="AK7" s="208">
        <v>0</v>
      </c>
      <c r="AL7" s="208">
        <v>0</v>
      </c>
      <c r="AM7" s="208">
        <v>0</v>
      </c>
      <c r="AN7" s="209">
        <v>0</v>
      </c>
      <c r="AP7" s="503" t="s">
        <v>178</v>
      </c>
      <c r="AQ7" s="504">
        <f>Australiaalltestshistptsscored</f>
        <v>13806</v>
      </c>
      <c r="AS7" s="503" t="s">
        <v>178</v>
      </c>
      <c r="AT7" s="504">
        <f>AustraliaWChistptsscored</f>
        <v>1797</v>
      </c>
    </row>
    <row r="8" spans="1:46" ht="14.95" customHeight="1" thickBot="1" x14ac:dyDescent="0.3">
      <c r="A8" s="191">
        <v>44170</v>
      </c>
      <c r="B8" s="226" t="s">
        <v>446</v>
      </c>
      <c r="C8" s="192" t="s">
        <v>37</v>
      </c>
      <c r="D8" s="226" t="s">
        <v>352</v>
      </c>
      <c r="E8" s="193" t="s">
        <v>2</v>
      </c>
      <c r="F8" s="193">
        <v>16</v>
      </c>
      <c r="G8" s="193">
        <v>16</v>
      </c>
      <c r="H8" s="193">
        <v>0</v>
      </c>
      <c r="I8" s="193">
        <v>0</v>
      </c>
      <c r="J8" s="193">
        <v>1</v>
      </c>
      <c r="K8" s="193">
        <v>1</v>
      </c>
      <c r="L8" s="193">
        <v>0</v>
      </c>
      <c r="M8" s="193">
        <v>3</v>
      </c>
      <c r="N8" s="193">
        <v>1</v>
      </c>
      <c r="O8" s="193">
        <v>1</v>
      </c>
      <c r="P8" s="193">
        <v>0</v>
      </c>
      <c r="Q8" s="193">
        <v>0</v>
      </c>
      <c r="R8" s="193">
        <v>1</v>
      </c>
      <c r="S8" s="194">
        <v>10000</v>
      </c>
      <c r="T8" s="364" t="s">
        <v>497</v>
      </c>
      <c r="U8" s="194" t="s">
        <v>151</v>
      </c>
      <c r="V8" s="194" t="s">
        <v>498</v>
      </c>
      <c r="W8" s="194" t="s">
        <v>404</v>
      </c>
      <c r="X8" s="195" t="s">
        <v>499</v>
      </c>
      <c r="Y8" s="208">
        <v>1</v>
      </c>
      <c r="Z8" s="208">
        <v>0</v>
      </c>
      <c r="AA8" s="208">
        <v>1</v>
      </c>
      <c r="AB8" s="209">
        <v>0</v>
      </c>
      <c r="AC8" s="208">
        <v>1</v>
      </c>
      <c r="AD8" s="208">
        <v>0</v>
      </c>
      <c r="AE8" s="208">
        <v>1</v>
      </c>
      <c r="AF8" s="209">
        <v>0</v>
      </c>
      <c r="AG8" s="208">
        <v>0</v>
      </c>
      <c r="AH8" s="208">
        <v>0</v>
      </c>
      <c r="AI8" s="208">
        <v>0</v>
      </c>
      <c r="AJ8" s="209">
        <v>0</v>
      </c>
      <c r="AK8" s="208">
        <v>0</v>
      </c>
      <c r="AL8" s="208">
        <v>0</v>
      </c>
      <c r="AM8" s="208">
        <v>0</v>
      </c>
      <c r="AN8" s="209">
        <v>0</v>
      </c>
      <c r="AP8" s="503" t="s">
        <v>179</v>
      </c>
      <c r="AQ8" s="504">
        <f>Australiaalltestshistptsagainst</f>
        <v>11571</v>
      </c>
      <c r="AS8" s="503" t="s">
        <v>179</v>
      </c>
      <c r="AT8" s="504">
        <f>AustraliaWChistptsagainst</f>
        <v>754</v>
      </c>
    </row>
    <row r="9" spans="1:46" ht="14.95" thickBot="1" x14ac:dyDescent="0.3">
      <c r="A9" s="387"/>
      <c r="B9" s="388"/>
      <c r="C9" s="743" t="s">
        <v>447</v>
      </c>
      <c r="D9" s="744"/>
      <c r="E9" s="745"/>
      <c r="F9" s="414">
        <f>SUM(F5:F8)</f>
        <v>60</v>
      </c>
      <c r="G9" s="414">
        <f t="shared" ref="G9:R9" si="0">SUM(G5:G8)</f>
        <v>96</v>
      </c>
      <c r="H9" s="414">
        <f t="shared" si="0"/>
        <v>0</v>
      </c>
      <c r="I9" s="414">
        <f t="shared" si="0"/>
        <v>0</v>
      </c>
      <c r="J9" s="414">
        <f t="shared" si="0"/>
        <v>4</v>
      </c>
      <c r="K9" s="414">
        <f t="shared" si="0"/>
        <v>2</v>
      </c>
      <c r="L9" s="414">
        <f t="shared" si="0"/>
        <v>0</v>
      </c>
      <c r="M9" s="414">
        <f t="shared" si="0"/>
        <v>12</v>
      </c>
      <c r="N9" s="414">
        <f t="shared" si="0"/>
        <v>3</v>
      </c>
      <c r="O9" s="414">
        <f t="shared" si="0"/>
        <v>2</v>
      </c>
      <c r="P9" s="414">
        <f t="shared" si="0"/>
        <v>1</v>
      </c>
      <c r="Q9" s="414">
        <f t="shared" si="0"/>
        <v>1</v>
      </c>
      <c r="R9" s="414">
        <f t="shared" si="0"/>
        <v>10</v>
      </c>
      <c r="S9" s="410"/>
      <c r="T9" s="410"/>
      <c r="U9" s="410"/>
      <c r="V9" s="410"/>
      <c r="W9" s="411"/>
      <c r="X9" s="594" t="s">
        <v>447</v>
      </c>
      <c r="Y9" s="597">
        <f t="shared" ref="Y9:AN9" si="1">SUM(Y5:Y8)</f>
        <v>4</v>
      </c>
      <c r="Z9" s="414">
        <f t="shared" si="1"/>
        <v>1</v>
      </c>
      <c r="AA9" s="414">
        <f t="shared" si="1"/>
        <v>2</v>
      </c>
      <c r="AB9" s="414">
        <f t="shared" si="1"/>
        <v>1</v>
      </c>
      <c r="AC9" s="412">
        <f t="shared" si="1"/>
        <v>4</v>
      </c>
      <c r="AD9" s="412">
        <f t="shared" si="1"/>
        <v>1</v>
      </c>
      <c r="AE9" s="412">
        <f t="shared" si="1"/>
        <v>2</v>
      </c>
      <c r="AF9" s="412">
        <f t="shared" si="1"/>
        <v>1</v>
      </c>
      <c r="AG9" s="413">
        <f t="shared" si="1"/>
        <v>0</v>
      </c>
      <c r="AH9" s="413">
        <f t="shared" si="1"/>
        <v>0</v>
      </c>
      <c r="AI9" s="413">
        <f t="shared" si="1"/>
        <v>0</v>
      </c>
      <c r="AJ9" s="413">
        <f t="shared" si="1"/>
        <v>0</v>
      </c>
      <c r="AK9" s="414">
        <f t="shared" si="1"/>
        <v>0</v>
      </c>
      <c r="AL9" s="414">
        <f t="shared" si="1"/>
        <v>0</v>
      </c>
      <c r="AM9" s="414">
        <f t="shared" si="1"/>
        <v>0</v>
      </c>
      <c r="AN9" s="414">
        <f t="shared" si="1"/>
        <v>0</v>
      </c>
      <c r="AP9" s="503" t="s">
        <v>169</v>
      </c>
      <c r="AQ9" s="504">
        <f>Australiaalltestshisttriesscored</f>
        <v>1726</v>
      </c>
      <c r="AS9" s="503" t="s">
        <v>169</v>
      </c>
      <c r="AT9" s="504">
        <f>AustraliaWChisttriesscored</f>
        <v>230</v>
      </c>
    </row>
    <row r="10" spans="1:46" ht="14.95" thickBot="1" x14ac:dyDescent="0.3">
      <c r="A10" s="387"/>
      <c r="B10" s="388"/>
      <c r="C10" s="763" t="s">
        <v>346</v>
      </c>
      <c r="D10" s="764"/>
      <c r="E10" s="765"/>
      <c r="F10" s="399">
        <f>SUM(F3:F4)</f>
        <v>23</v>
      </c>
      <c r="G10" s="399">
        <f t="shared" ref="G10:R10" si="2">SUM(G3:G4)</f>
        <v>43</v>
      </c>
      <c r="H10" s="399">
        <f t="shared" si="2"/>
        <v>0</v>
      </c>
      <c r="I10" s="399">
        <f t="shared" si="2"/>
        <v>0</v>
      </c>
      <c r="J10" s="399">
        <f t="shared" si="2"/>
        <v>3</v>
      </c>
      <c r="K10" s="399">
        <f t="shared" si="2"/>
        <v>1</v>
      </c>
      <c r="L10" s="399">
        <f t="shared" si="2"/>
        <v>0</v>
      </c>
      <c r="M10" s="399">
        <f t="shared" si="2"/>
        <v>2</v>
      </c>
      <c r="N10" s="399">
        <f t="shared" si="2"/>
        <v>0</v>
      </c>
      <c r="O10" s="399">
        <f t="shared" si="2"/>
        <v>0</v>
      </c>
      <c r="P10" s="399">
        <f t="shared" si="2"/>
        <v>0</v>
      </c>
      <c r="Q10" s="399">
        <f t="shared" si="2"/>
        <v>0</v>
      </c>
      <c r="R10" s="399">
        <f t="shared" si="2"/>
        <v>6</v>
      </c>
      <c r="S10" s="395"/>
      <c r="T10" s="395"/>
      <c r="U10" s="395"/>
      <c r="V10" s="395"/>
      <c r="W10" s="396"/>
      <c r="X10" s="595" t="s">
        <v>346</v>
      </c>
      <c r="Y10" s="598">
        <f t="shared" ref="Y10:AN10" si="3">SUM(Y3:Y4)</f>
        <v>2</v>
      </c>
      <c r="Z10" s="599">
        <f t="shared" si="3"/>
        <v>0</v>
      </c>
      <c r="AA10" s="399">
        <f t="shared" si="3"/>
        <v>1</v>
      </c>
      <c r="AB10" s="399">
        <f t="shared" si="3"/>
        <v>1</v>
      </c>
      <c r="AC10" s="397">
        <f t="shared" si="3"/>
        <v>1</v>
      </c>
      <c r="AD10" s="397">
        <f t="shared" si="3"/>
        <v>0</v>
      </c>
      <c r="AE10" s="397">
        <f t="shared" si="3"/>
        <v>1</v>
      </c>
      <c r="AF10" s="397">
        <f t="shared" si="3"/>
        <v>0</v>
      </c>
      <c r="AG10" s="398">
        <f t="shared" si="3"/>
        <v>1</v>
      </c>
      <c r="AH10" s="398">
        <f t="shared" si="3"/>
        <v>0</v>
      </c>
      <c r="AI10" s="398">
        <f t="shared" si="3"/>
        <v>0</v>
      </c>
      <c r="AJ10" s="398">
        <f t="shared" si="3"/>
        <v>1</v>
      </c>
      <c r="AK10" s="399">
        <f t="shared" si="3"/>
        <v>0</v>
      </c>
      <c r="AL10" s="399">
        <f t="shared" si="3"/>
        <v>0</v>
      </c>
      <c r="AM10" s="399">
        <f t="shared" si="3"/>
        <v>0</v>
      </c>
      <c r="AN10" s="399">
        <f t="shared" si="3"/>
        <v>0</v>
      </c>
    </row>
    <row r="11" spans="1:46" ht="14.95" thickBot="1" x14ac:dyDescent="0.3">
      <c r="A11" s="387"/>
      <c r="B11" s="388"/>
      <c r="C11" s="732" t="s">
        <v>108</v>
      </c>
      <c r="D11" s="733"/>
      <c r="E11" s="734"/>
      <c r="F11" s="552">
        <f t="shared" ref="F11:R11" si="4">SUM(F3:F8)</f>
        <v>83</v>
      </c>
      <c r="G11" s="552">
        <f t="shared" si="4"/>
        <v>139</v>
      </c>
      <c r="H11" s="552">
        <f t="shared" si="4"/>
        <v>0</v>
      </c>
      <c r="I11" s="552">
        <f t="shared" si="4"/>
        <v>0</v>
      </c>
      <c r="J11" s="552">
        <f t="shared" si="4"/>
        <v>7</v>
      </c>
      <c r="K11" s="552">
        <f t="shared" si="4"/>
        <v>3</v>
      </c>
      <c r="L11" s="552">
        <f t="shared" si="4"/>
        <v>0</v>
      </c>
      <c r="M11" s="552">
        <f t="shared" si="4"/>
        <v>14</v>
      </c>
      <c r="N11" s="552">
        <f t="shared" si="4"/>
        <v>3</v>
      </c>
      <c r="O11" s="552">
        <f t="shared" si="4"/>
        <v>2</v>
      </c>
      <c r="P11" s="552">
        <f t="shared" si="4"/>
        <v>1</v>
      </c>
      <c r="Q11" s="552">
        <f t="shared" si="4"/>
        <v>1</v>
      </c>
      <c r="R11" s="552">
        <f t="shared" si="4"/>
        <v>16</v>
      </c>
      <c r="S11" s="548"/>
      <c r="T11" s="548"/>
      <c r="U11" s="548"/>
      <c r="V11" s="548"/>
      <c r="W11" s="13"/>
      <c r="X11" s="596" t="s">
        <v>108</v>
      </c>
      <c r="Y11" s="600">
        <f t="shared" ref="Y11:AN11" si="5">SUM(Y3:Y8)</f>
        <v>6</v>
      </c>
      <c r="Z11" s="552">
        <f t="shared" si="5"/>
        <v>1</v>
      </c>
      <c r="AA11" s="552">
        <f t="shared" si="5"/>
        <v>3</v>
      </c>
      <c r="AB11" s="552">
        <f t="shared" si="5"/>
        <v>2</v>
      </c>
      <c r="AC11" s="550">
        <f t="shared" si="5"/>
        <v>5</v>
      </c>
      <c r="AD11" s="550">
        <f t="shared" si="5"/>
        <v>1</v>
      </c>
      <c r="AE11" s="550">
        <f t="shared" si="5"/>
        <v>3</v>
      </c>
      <c r="AF11" s="550">
        <f t="shared" si="5"/>
        <v>1</v>
      </c>
      <c r="AG11" s="551">
        <f t="shared" si="5"/>
        <v>1</v>
      </c>
      <c r="AH11" s="551">
        <f t="shared" si="5"/>
        <v>0</v>
      </c>
      <c r="AI11" s="551">
        <f t="shared" si="5"/>
        <v>0</v>
      </c>
      <c r="AJ11" s="551">
        <f t="shared" si="5"/>
        <v>1</v>
      </c>
      <c r="AK11" s="552">
        <f t="shared" si="5"/>
        <v>0</v>
      </c>
      <c r="AL11" s="552">
        <f t="shared" si="5"/>
        <v>0</v>
      </c>
      <c r="AM11" s="552">
        <f t="shared" si="5"/>
        <v>0</v>
      </c>
      <c r="AN11" s="552">
        <f t="shared" si="5"/>
        <v>0</v>
      </c>
    </row>
    <row r="12" spans="1:46" x14ac:dyDescent="0.25">
      <c r="A12" s="762" t="s">
        <v>349</v>
      </c>
      <c r="B12" s="725"/>
      <c r="C12" s="725"/>
      <c r="D12" s="725"/>
      <c r="E12" s="725"/>
      <c r="F12" s="725"/>
      <c r="G12" s="725"/>
      <c r="H12" s="725"/>
      <c r="I12" s="725"/>
      <c r="J12" s="725"/>
      <c r="K12" s="725"/>
      <c r="L12" s="725"/>
      <c r="M12" s="725"/>
      <c r="N12" s="725"/>
      <c r="O12" s="725"/>
      <c r="P12" s="725"/>
      <c r="Q12" s="725"/>
      <c r="R12" s="725"/>
      <c r="S12" s="725"/>
      <c r="T12" s="725"/>
      <c r="U12" s="725"/>
      <c r="V12" s="725"/>
      <c r="W12" s="725"/>
    </row>
    <row r="13" spans="1:46" x14ac:dyDescent="0.25">
      <c r="A13" t="s">
        <v>351</v>
      </c>
    </row>
    <row r="14" spans="1:46" x14ac:dyDescent="0.25">
      <c r="A14" t="s">
        <v>353</v>
      </c>
    </row>
    <row r="15" spans="1:46" x14ac:dyDescent="0.25">
      <c r="A15" s="156"/>
      <c r="B15" t="s">
        <v>44</v>
      </c>
    </row>
    <row r="16" spans="1:46" x14ac:dyDescent="0.25">
      <c r="A16" s="154"/>
      <c r="B16" t="s">
        <v>42</v>
      </c>
    </row>
    <row r="17" spans="1:2" x14ac:dyDescent="0.25">
      <c r="A17" s="155"/>
      <c r="B17" t="s">
        <v>43</v>
      </c>
    </row>
    <row r="18" spans="1:2" x14ac:dyDescent="0.25">
      <c r="A18" s="15" t="s">
        <v>28</v>
      </c>
    </row>
  </sheetData>
  <mergeCells count="14">
    <mergeCell ref="A12:W12"/>
    <mergeCell ref="C10:E10"/>
    <mergeCell ref="C11:E11"/>
    <mergeCell ref="Y1:AB1"/>
    <mergeCell ref="AC1:AF1"/>
    <mergeCell ref="AG1:AJ1"/>
    <mergeCell ref="AK1:AN1"/>
    <mergeCell ref="C9:E9"/>
    <mergeCell ref="J1:M1"/>
    <mergeCell ref="N1:O1"/>
    <mergeCell ref="P1:R1"/>
    <mergeCell ref="A1:C1"/>
    <mergeCell ref="E1:G1"/>
    <mergeCell ref="H1:I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29"/>
  <sheetViews>
    <sheetView zoomScaleNormal="100" workbookViewId="0">
      <pane ySplit="2" topLeftCell="A3" activePane="bottomLeft" state="frozen"/>
      <selection pane="bottomLeft" activeCell="A18" sqref="A18:AN18"/>
    </sheetView>
  </sheetViews>
  <sheetFormatPr defaultRowHeight="14.3" x14ac:dyDescent="0.25"/>
  <cols>
    <col min="1" max="1" width="7.5" customWidth="1"/>
    <col min="2" max="2" width="5.5" customWidth="1"/>
    <col min="3" max="3" width="12.5" customWidth="1"/>
    <col min="4" max="4" width="4.875" customWidth="1"/>
    <col min="5" max="18" width="3.625" customWidth="1"/>
    <col min="19" max="20" width="6.375" customWidth="1"/>
    <col min="21" max="21" width="22.375" customWidth="1"/>
    <col min="22" max="22" width="24.375" bestFit="1" customWidth="1"/>
    <col min="23" max="23" width="25.5" customWidth="1"/>
    <col min="24" max="24" width="25.875" bestFit="1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778" t="s">
        <v>374</v>
      </c>
      <c r="B1" s="779"/>
      <c r="C1" s="779"/>
      <c r="D1" s="151"/>
      <c r="E1" s="780" t="s">
        <v>24</v>
      </c>
      <c r="F1" s="781"/>
      <c r="G1" s="782"/>
      <c r="H1" s="780" t="s">
        <v>23</v>
      </c>
      <c r="I1" s="782"/>
      <c r="J1" s="775" t="s">
        <v>6</v>
      </c>
      <c r="K1" s="776"/>
      <c r="L1" s="776"/>
      <c r="M1" s="777"/>
      <c r="N1" s="775" t="s">
        <v>7</v>
      </c>
      <c r="O1" s="777"/>
      <c r="P1" s="775" t="s">
        <v>25</v>
      </c>
      <c r="Q1" s="776"/>
      <c r="R1" s="777"/>
      <c r="S1" s="522" t="s">
        <v>8</v>
      </c>
      <c r="T1" s="522" t="s">
        <v>9</v>
      </c>
      <c r="U1" s="29" t="s">
        <v>10</v>
      </c>
      <c r="V1" s="28" t="s">
        <v>11</v>
      </c>
      <c r="W1" s="30" t="s">
        <v>26</v>
      </c>
      <c r="X1" s="171" t="s">
        <v>27</v>
      </c>
      <c r="Y1" s="766" t="s">
        <v>20</v>
      </c>
      <c r="Z1" s="747"/>
      <c r="AA1" s="747"/>
      <c r="AB1" s="748"/>
      <c r="AC1" s="766" t="s">
        <v>61</v>
      </c>
      <c r="AD1" s="747"/>
      <c r="AE1" s="747"/>
      <c r="AF1" s="748"/>
      <c r="AG1" s="766" t="s">
        <v>62</v>
      </c>
      <c r="AH1" s="747"/>
      <c r="AI1" s="747"/>
      <c r="AJ1" s="748"/>
      <c r="AK1" s="766" t="s">
        <v>63</v>
      </c>
      <c r="AL1" s="747"/>
      <c r="AM1" s="747"/>
      <c r="AN1" s="748"/>
      <c r="AP1" s="507" t="s">
        <v>182</v>
      </c>
      <c r="AQ1" s="14"/>
      <c r="AS1" s="507" t="s">
        <v>182</v>
      </c>
    </row>
    <row r="2" spans="1:46" ht="14.95" customHeight="1" thickBot="1" x14ac:dyDescent="0.3">
      <c r="A2" s="31" t="s">
        <v>19</v>
      </c>
      <c r="B2" s="32" t="s">
        <v>18</v>
      </c>
      <c r="C2" s="33" t="s">
        <v>17</v>
      </c>
      <c r="D2" s="33" t="s">
        <v>41</v>
      </c>
      <c r="E2" s="34" t="s">
        <v>16</v>
      </c>
      <c r="F2" s="34" t="s">
        <v>4</v>
      </c>
      <c r="G2" s="34" t="s">
        <v>5</v>
      </c>
      <c r="H2" s="35" t="s">
        <v>12</v>
      </c>
      <c r="I2" s="35" t="s">
        <v>3</v>
      </c>
      <c r="J2" s="35" t="s">
        <v>12</v>
      </c>
      <c r="K2" s="35" t="s">
        <v>13</v>
      </c>
      <c r="L2" s="35" t="s">
        <v>2</v>
      </c>
      <c r="M2" s="35" t="s">
        <v>14</v>
      </c>
      <c r="N2" s="35" t="s">
        <v>15</v>
      </c>
      <c r="O2" s="35" t="s">
        <v>16</v>
      </c>
      <c r="P2" s="35" t="s">
        <v>21</v>
      </c>
      <c r="Q2" s="35" t="s">
        <v>22</v>
      </c>
      <c r="R2" s="35" t="s">
        <v>12</v>
      </c>
      <c r="S2" s="36"/>
      <c r="T2" s="37"/>
      <c r="U2" s="38"/>
      <c r="V2" s="36"/>
      <c r="W2" s="39"/>
      <c r="X2" s="40"/>
      <c r="Y2" s="28" t="s">
        <v>0</v>
      </c>
      <c r="Z2" s="28" t="s">
        <v>1</v>
      </c>
      <c r="AA2" s="28" t="s">
        <v>2</v>
      </c>
      <c r="AB2" s="28" t="s">
        <v>3</v>
      </c>
      <c r="AC2" s="28" t="s">
        <v>0</v>
      </c>
      <c r="AD2" s="28" t="s">
        <v>1</v>
      </c>
      <c r="AE2" s="28" t="s">
        <v>2</v>
      </c>
      <c r="AF2" s="28" t="s">
        <v>3</v>
      </c>
      <c r="AG2" s="28" t="s">
        <v>0</v>
      </c>
      <c r="AH2" s="28" t="s">
        <v>1</v>
      </c>
      <c r="AI2" s="28" t="s">
        <v>2</v>
      </c>
      <c r="AJ2" s="28" t="s">
        <v>3</v>
      </c>
      <c r="AK2" s="28" t="s">
        <v>0</v>
      </c>
      <c r="AL2" s="28" t="s">
        <v>1</v>
      </c>
      <c r="AM2" s="28" t="s">
        <v>2</v>
      </c>
      <c r="AN2" s="28" t="s">
        <v>3</v>
      </c>
      <c r="AP2" s="481" t="s">
        <v>108</v>
      </c>
      <c r="AQ2" s="249" t="s">
        <v>221</v>
      </c>
      <c r="AS2" s="482" t="s">
        <v>167</v>
      </c>
      <c r="AT2" s="249" t="s">
        <v>221</v>
      </c>
    </row>
    <row r="3" spans="1:46" ht="14.95" customHeight="1" thickBot="1" x14ac:dyDescent="0.35">
      <c r="A3" s="359"/>
      <c r="B3" s="211"/>
      <c r="C3" s="174"/>
      <c r="D3" s="174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6"/>
      <c r="T3" s="409"/>
      <c r="U3" s="177"/>
      <c r="V3" s="176"/>
      <c r="W3" s="178"/>
      <c r="X3" s="179"/>
      <c r="Y3" s="180"/>
      <c r="Z3" s="180"/>
      <c r="AA3" s="180"/>
      <c r="AB3" s="181"/>
      <c r="AC3" s="180"/>
      <c r="AD3" s="180"/>
      <c r="AE3" s="180"/>
      <c r="AF3" s="181"/>
      <c r="AG3" s="180"/>
      <c r="AH3" s="180"/>
      <c r="AI3" s="180"/>
      <c r="AJ3" s="181"/>
      <c r="AK3" s="180"/>
      <c r="AL3" s="180"/>
      <c r="AM3" s="180"/>
      <c r="AN3" s="181"/>
      <c r="AP3" s="501" t="s">
        <v>170</v>
      </c>
      <c r="AQ3" s="502">
        <f>Canadaalltestshistplayed</f>
        <v>277</v>
      </c>
      <c r="AS3" s="501" t="s">
        <v>170</v>
      </c>
      <c r="AT3" s="502">
        <f>CanadaRWChistplayed</f>
        <v>32</v>
      </c>
    </row>
    <row r="4" spans="1:46" ht="14.95" customHeight="1" thickBot="1" x14ac:dyDescent="0.35">
      <c r="A4" s="359"/>
      <c r="B4" s="204"/>
      <c r="C4" s="174"/>
      <c r="D4" s="174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6"/>
      <c r="T4" s="409"/>
      <c r="U4" s="177"/>
      <c r="V4" s="176"/>
      <c r="W4" s="178"/>
      <c r="X4" s="179"/>
      <c r="Y4" s="180"/>
      <c r="Z4" s="180"/>
      <c r="AA4" s="180"/>
      <c r="AB4" s="181"/>
      <c r="AC4" s="180"/>
      <c r="AD4" s="180"/>
      <c r="AE4" s="180"/>
      <c r="AF4" s="181"/>
      <c r="AG4" s="180"/>
      <c r="AH4" s="180"/>
      <c r="AI4" s="180"/>
      <c r="AJ4" s="181"/>
      <c r="AK4" s="180"/>
      <c r="AL4" s="180"/>
      <c r="AM4" s="180"/>
      <c r="AN4" s="181"/>
      <c r="AP4" s="503" t="s">
        <v>171</v>
      </c>
      <c r="AQ4" s="504">
        <f>Canadaalltestshistwon</f>
        <v>107</v>
      </c>
      <c r="AS4" s="503" t="s">
        <v>171</v>
      </c>
      <c r="AT4" s="504">
        <f>CanadaRWChistwon</f>
        <v>7</v>
      </c>
    </row>
    <row r="5" spans="1:46" ht="14.95" customHeight="1" thickBot="1" x14ac:dyDescent="0.35">
      <c r="A5" s="358"/>
      <c r="B5" s="210"/>
      <c r="C5" s="192"/>
      <c r="D5" s="192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282"/>
      <c r="T5" s="365"/>
      <c r="U5" s="283"/>
      <c r="V5" s="282"/>
      <c r="W5" s="284"/>
      <c r="X5" s="285"/>
      <c r="Y5" s="208"/>
      <c r="Z5" s="208"/>
      <c r="AA5" s="208"/>
      <c r="AB5" s="209"/>
      <c r="AC5" s="208"/>
      <c r="AD5" s="208"/>
      <c r="AE5" s="208"/>
      <c r="AF5" s="209"/>
      <c r="AG5" s="208"/>
      <c r="AH5" s="208"/>
      <c r="AI5" s="208"/>
      <c r="AJ5" s="209"/>
      <c r="AK5" s="208"/>
      <c r="AL5" s="208"/>
      <c r="AM5" s="208"/>
      <c r="AN5" s="209"/>
      <c r="AP5" s="503" t="s">
        <v>177</v>
      </c>
      <c r="AQ5" s="504">
        <f>Canadaalltestshistdrawn</f>
        <v>6</v>
      </c>
      <c r="AS5" s="503" t="s">
        <v>177</v>
      </c>
      <c r="AT5" s="504">
        <f>CanadaRWChistdrawn</f>
        <v>2</v>
      </c>
    </row>
    <row r="6" spans="1:46" ht="14.95" customHeight="1" thickBot="1" x14ac:dyDescent="0.3">
      <c r="A6" s="359"/>
      <c r="B6" s="204"/>
      <c r="C6" s="174"/>
      <c r="D6" s="174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6"/>
      <c r="T6" s="219"/>
      <c r="U6" s="177"/>
      <c r="V6" s="176"/>
      <c r="W6" s="178"/>
      <c r="X6" s="179"/>
      <c r="Y6" s="180"/>
      <c r="Z6" s="180"/>
      <c r="AA6" s="180"/>
      <c r="AB6" s="181"/>
      <c r="AC6" s="180"/>
      <c r="AD6" s="180"/>
      <c r="AE6" s="180"/>
      <c r="AF6" s="181"/>
      <c r="AG6" s="180"/>
      <c r="AH6" s="180"/>
      <c r="AI6" s="180"/>
      <c r="AJ6" s="181"/>
      <c r="AK6" s="180"/>
      <c r="AL6" s="180"/>
      <c r="AM6" s="180"/>
      <c r="AN6" s="181"/>
      <c r="AP6" s="503" t="s">
        <v>172</v>
      </c>
      <c r="AQ6" s="504">
        <f>Canadaalltestshistlost</f>
        <v>164</v>
      </c>
      <c r="AS6" s="503" t="s">
        <v>172</v>
      </c>
      <c r="AT6" s="504">
        <f>CanadaRWChistlost</f>
        <v>23</v>
      </c>
    </row>
    <row r="7" spans="1:46" ht="14.95" customHeight="1" thickBot="1" x14ac:dyDescent="0.3">
      <c r="A7" s="359"/>
      <c r="B7" s="204"/>
      <c r="C7" s="174"/>
      <c r="D7" s="174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6"/>
      <c r="T7" s="219"/>
      <c r="U7" s="177"/>
      <c r="V7" s="176"/>
      <c r="W7" s="176"/>
      <c r="X7" s="179"/>
      <c r="Y7" s="180"/>
      <c r="Z7" s="180"/>
      <c r="AA7" s="180"/>
      <c r="AB7" s="181"/>
      <c r="AC7" s="180"/>
      <c r="AD7" s="180"/>
      <c r="AE7" s="180"/>
      <c r="AF7" s="181"/>
      <c r="AG7" s="180"/>
      <c r="AH7" s="180"/>
      <c r="AI7" s="180"/>
      <c r="AJ7" s="181"/>
      <c r="AK7" s="180"/>
      <c r="AL7" s="180"/>
      <c r="AM7" s="180"/>
      <c r="AN7" s="181"/>
      <c r="AP7" s="503" t="s">
        <v>178</v>
      </c>
      <c r="AQ7" s="504">
        <f>Canadaalltestshistptsscored</f>
        <v>5769</v>
      </c>
      <c r="AS7" s="503" t="s">
        <v>178</v>
      </c>
      <c r="AT7" s="504">
        <f>CanadaRWChistptsscored</f>
        <v>541</v>
      </c>
    </row>
    <row r="8" spans="1:46" ht="14.95" customHeight="1" thickBot="1" x14ac:dyDescent="0.3">
      <c r="A8" s="359"/>
      <c r="B8" s="204"/>
      <c r="C8" s="174"/>
      <c r="D8" s="174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6"/>
      <c r="T8" s="219"/>
      <c r="U8" s="177"/>
      <c r="V8" s="176"/>
      <c r="W8" s="176"/>
      <c r="X8" s="178"/>
      <c r="Y8" s="180"/>
      <c r="Z8" s="180"/>
      <c r="AA8" s="180"/>
      <c r="AB8" s="181"/>
      <c r="AC8" s="180"/>
      <c r="AD8" s="180"/>
      <c r="AE8" s="180"/>
      <c r="AF8" s="181"/>
      <c r="AG8" s="180"/>
      <c r="AH8" s="180"/>
      <c r="AI8" s="180"/>
      <c r="AJ8" s="181"/>
      <c r="AK8" s="180"/>
      <c r="AL8" s="180"/>
      <c r="AM8" s="180"/>
      <c r="AN8" s="181"/>
      <c r="AP8" s="503" t="s">
        <v>179</v>
      </c>
      <c r="AQ8" s="504">
        <f>Canadaalltestshistptsagainst</f>
        <v>7229</v>
      </c>
      <c r="AS8" s="503" t="s">
        <v>179</v>
      </c>
      <c r="AT8" s="504">
        <f>CanadaRWChistptsagainst</f>
        <v>1015</v>
      </c>
    </row>
    <row r="9" spans="1:46" ht="14.95" customHeight="1" thickBot="1" x14ac:dyDescent="0.3">
      <c r="A9" s="184"/>
      <c r="B9" s="185"/>
      <c r="C9" s="185"/>
      <c r="D9" s="185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99"/>
      <c r="T9" s="356"/>
      <c r="U9" s="200"/>
      <c r="V9" s="199"/>
      <c r="W9" s="187"/>
      <c r="X9" s="201"/>
      <c r="Y9" s="202"/>
      <c r="Z9" s="202"/>
      <c r="AA9" s="202"/>
      <c r="AB9" s="203"/>
      <c r="AC9" s="202"/>
      <c r="AD9" s="202"/>
      <c r="AE9" s="202"/>
      <c r="AF9" s="203"/>
      <c r="AG9" s="202"/>
      <c r="AH9" s="202"/>
      <c r="AI9" s="202"/>
      <c r="AJ9" s="203"/>
      <c r="AK9" s="202"/>
      <c r="AL9" s="202"/>
      <c r="AM9" s="202"/>
      <c r="AN9" s="203"/>
      <c r="AP9" s="503" t="s">
        <v>169</v>
      </c>
      <c r="AQ9" s="504">
        <f>Canadaalltestshisttriesscored</f>
        <v>612</v>
      </c>
      <c r="AS9" s="503" t="s">
        <v>169</v>
      </c>
      <c r="AT9" s="504">
        <f>CanadaRWChisttriesscored</f>
        <v>58</v>
      </c>
    </row>
    <row r="10" spans="1:46" ht="14.95" customHeight="1" thickBot="1" x14ac:dyDescent="0.3">
      <c r="A10" s="191"/>
      <c r="B10" s="192"/>
      <c r="C10" s="192"/>
      <c r="D10" s="192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205"/>
      <c r="T10" s="218"/>
      <c r="U10" s="206"/>
      <c r="V10" s="205"/>
      <c r="W10" s="206"/>
      <c r="X10" s="194"/>
      <c r="Y10" s="208"/>
      <c r="Z10" s="208"/>
      <c r="AA10" s="208"/>
      <c r="AB10" s="209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</row>
    <row r="11" spans="1:46" ht="14.95" customHeight="1" thickBot="1" x14ac:dyDescent="0.3">
      <c r="A11" s="184"/>
      <c r="B11" s="421"/>
      <c r="C11" s="185"/>
      <c r="D11" s="185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99"/>
      <c r="T11" s="356"/>
      <c r="U11" s="200"/>
      <c r="V11" s="199"/>
      <c r="W11" s="200"/>
      <c r="X11" s="187"/>
      <c r="Y11" s="202"/>
      <c r="Z11" s="202"/>
      <c r="AA11" s="202"/>
      <c r="AB11" s="203"/>
      <c r="AC11" s="202"/>
      <c r="AD11" s="202"/>
      <c r="AE11" s="202"/>
      <c r="AF11" s="203"/>
      <c r="AG11" s="202"/>
      <c r="AH11" s="202"/>
      <c r="AI11" s="202"/>
      <c r="AJ11" s="203"/>
      <c r="AK11" s="202"/>
      <c r="AL11" s="202"/>
      <c r="AM11" s="202"/>
      <c r="AN11" s="203"/>
    </row>
    <row r="12" spans="1:46" ht="14.95" customHeight="1" thickBot="1" x14ac:dyDescent="0.3">
      <c r="A12" s="473"/>
      <c r="B12" s="440"/>
      <c r="C12" s="440"/>
      <c r="D12" s="440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99"/>
      <c r="T12" s="356"/>
      <c r="U12" s="200"/>
      <c r="V12" s="199"/>
      <c r="W12" s="187"/>
      <c r="X12" s="201"/>
      <c r="Y12" s="202"/>
      <c r="Z12" s="202"/>
      <c r="AA12" s="202"/>
      <c r="AB12" s="203"/>
      <c r="AC12" s="202"/>
      <c r="AD12" s="202"/>
      <c r="AE12" s="202"/>
      <c r="AF12" s="203"/>
      <c r="AG12" s="202"/>
      <c r="AH12" s="202"/>
      <c r="AI12" s="202"/>
      <c r="AJ12" s="203"/>
      <c r="AK12" s="202"/>
      <c r="AL12" s="202"/>
      <c r="AM12" s="202"/>
      <c r="AN12" s="203"/>
    </row>
    <row r="13" spans="1:46" ht="14.95" customHeight="1" thickBot="1" x14ac:dyDescent="0.3">
      <c r="A13" s="473"/>
      <c r="B13" s="440"/>
      <c r="C13" s="440"/>
      <c r="D13" s="440"/>
      <c r="E13" s="474"/>
      <c r="F13" s="474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7"/>
      <c r="T13" s="562"/>
      <c r="U13" s="187"/>
      <c r="V13" s="187"/>
      <c r="W13" s="187"/>
      <c r="X13" s="187"/>
      <c r="Y13" s="202"/>
      <c r="Z13" s="202"/>
      <c r="AA13" s="202"/>
      <c r="AB13" s="203"/>
      <c r="AC13" s="202"/>
      <c r="AD13" s="202"/>
      <c r="AE13" s="202"/>
      <c r="AF13" s="203"/>
      <c r="AG13" s="202"/>
      <c r="AH13" s="202"/>
      <c r="AI13" s="202"/>
      <c r="AJ13" s="203"/>
      <c r="AK13" s="202"/>
      <c r="AL13" s="202"/>
      <c r="AM13" s="202"/>
      <c r="AN13" s="203"/>
    </row>
    <row r="14" spans="1:46" ht="14.95" customHeight="1" thickBot="1" x14ac:dyDescent="0.35">
      <c r="A14" s="184"/>
      <c r="B14" s="185"/>
      <c r="C14" s="185"/>
      <c r="D14" s="185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7"/>
      <c r="T14" s="569"/>
      <c r="U14" s="187"/>
      <c r="V14" s="187"/>
      <c r="W14" s="187"/>
      <c r="X14" s="187"/>
      <c r="Y14" s="202"/>
      <c r="Z14" s="202"/>
      <c r="AA14" s="202"/>
      <c r="AB14" s="203"/>
      <c r="AC14" s="202"/>
      <c r="AD14" s="202"/>
      <c r="AE14" s="202"/>
      <c r="AF14" s="203"/>
      <c r="AG14" s="202"/>
      <c r="AH14" s="202"/>
      <c r="AI14" s="202"/>
      <c r="AJ14" s="203"/>
      <c r="AK14" s="202"/>
      <c r="AL14" s="202"/>
      <c r="AM14" s="202"/>
      <c r="AN14" s="203"/>
    </row>
    <row r="15" spans="1:46" ht="14.95" thickBot="1" x14ac:dyDescent="0.3">
      <c r="A15" s="387"/>
      <c r="B15" s="388"/>
      <c r="C15" s="769" t="s">
        <v>109</v>
      </c>
      <c r="D15" s="770"/>
      <c r="E15" s="771"/>
      <c r="F15" s="386">
        <f t="shared" ref="F15:R15" si="0">SUM(F3:F6)</f>
        <v>0</v>
      </c>
      <c r="G15" s="386">
        <f t="shared" si="0"/>
        <v>0</v>
      </c>
      <c r="H15" s="386">
        <f t="shared" si="0"/>
        <v>0</v>
      </c>
      <c r="I15" s="386">
        <f t="shared" si="0"/>
        <v>0</v>
      </c>
      <c r="J15" s="386">
        <f t="shared" si="0"/>
        <v>0</v>
      </c>
      <c r="K15" s="386">
        <f t="shared" si="0"/>
        <v>0</v>
      </c>
      <c r="L15" s="386">
        <f t="shared" si="0"/>
        <v>0</v>
      </c>
      <c r="M15" s="386">
        <f t="shared" si="0"/>
        <v>0</v>
      </c>
      <c r="N15" s="386">
        <f t="shared" si="0"/>
        <v>0</v>
      </c>
      <c r="O15" s="386">
        <f t="shared" si="0"/>
        <v>0</v>
      </c>
      <c r="P15" s="386">
        <f t="shared" si="0"/>
        <v>0</v>
      </c>
      <c r="Q15" s="386">
        <f t="shared" si="0"/>
        <v>0</v>
      </c>
      <c r="R15" s="386">
        <f t="shared" si="0"/>
        <v>0</v>
      </c>
      <c r="W15" s="383"/>
      <c r="X15" s="612" t="s">
        <v>109</v>
      </c>
      <c r="Y15" s="386">
        <f t="shared" ref="Y15:AN15" si="1">SUM(Y3:Y6)</f>
        <v>0</v>
      </c>
      <c r="Z15" s="386">
        <f t="shared" si="1"/>
        <v>0</v>
      </c>
      <c r="AA15" s="386">
        <f t="shared" si="1"/>
        <v>0</v>
      </c>
      <c r="AB15" s="386">
        <f t="shared" si="1"/>
        <v>0</v>
      </c>
      <c r="AC15" s="384">
        <f t="shared" si="1"/>
        <v>0</v>
      </c>
      <c r="AD15" s="384">
        <f t="shared" si="1"/>
        <v>0</v>
      </c>
      <c r="AE15" s="384">
        <f t="shared" si="1"/>
        <v>0</v>
      </c>
      <c r="AF15" s="384">
        <f t="shared" si="1"/>
        <v>0</v>
      </c>
      <c r="AG15" s="385">
        <f t="shared" si="1"/>
        <v>0</v>
      </c>
      <c r="AH15" s="385">
        <f t="shared" si="1"/>
        <v>0</v>
      </c>
      <c r="AI15" s="385">
        <f t="shared" si="1"/>
        <v>0</v>
      </c>
      <c r="AJ15" s="385">
        <f t="shared" si="1"/>
        <v>0</v>
      </c>
      <c r="AK15" s="386">
        <f t="shared" si="1"/>
        <v>0</v>
      </c>
      <c r="AL15" s="386">
        <f t="shared" si="1"/>
        <v>0</v>
      </c>
      <c r="AM15" s="386">
        <f t="shared" si="1"/>
        <v>0</v>
      </c>
      <c r="AN15" s="386">
        <f t="shared" si="1"/>
        <v>0</v>
      </c>
    </row>
    <row r="16" spans="1:46" ht="14.95" thickBot="1" x14ac:dyDescent="0.3">
      <c r="A16" s="387"/>
      <c r="B16" s="388"/>
      <c r="C16" s="772" t="s">
        <v>168</v>
      </c>
      <c r="D16" s="773"/>
      <c r="E16" s="774"/>
      <c r="F16" s="394">
        <f>SUM(F7:F9)</f>
        <v>0</v>
      </c>
      <c r="G16" s="394">
        <f>SUM(G7:G9)</f>
        <v>0</v>
      </c>
      <c r="H16" s="394" t="s">
        <v>107</v>
      </c>
      <c r="I16" s="394" t="s">
        <v>107</v>
      </c>
      <c r="J16" s="394">
        <f t="shared" ref="J16:O16" si="2">SUM(J7:J9)</f>
        <v>0</v>
      </c>
      <c r="K16" s="394">
        <f t="shared" si="2"/>
        <v>0</v>
      </c>
      <c r="L16" s="394">
        <f t="shared" si="2"/>
        <v>0</v>
      </c>
      <c r="M16" s="394">
        <f t="shared" si="2"/>
        <v>0</v>
      </c>
      <c r="N16" s="394">
        <f t="shared" si="2"/>
        <v>0</v>
      </c>
      <c r="O16" s="394">
        <f t="shared" si="2"/>
        <v>0</v>
      </c>
      <c r="P16" s="394" t="s">
        <v>107</v>
      </c>
      <c r="Q16" s="394" t="s">
        <v>107</v>
      </c>
      <c r="R16" s="394">
        <f>SUM(R7:R9)</f>
        <v>0</v>
      </c>
      <c r="S16" s="390"/>
      <c r="T16" s="390"/>
      <c r="U16" s="390"/>
      <c r="V16" s="390"/>
      <c r="W16" s="391"/>
      <c r="X16" s="611" t="s">
        <v>168</v>
      </c>
      <c r="Y16" s="394">
        <f t="shared" ref="Y16:AN16" si="3">SUM(Y7:Y9)</f>
        <v>0</v>
      </c>
      <c r="Z16" s="394">
        <f t="shared" si="3"/>
        <v>0</v>
      </c>
      <c r="AA16" s="394">
        <f t="shared" si="3"/>
        <v>0</v>
      </c>
      <c r="AB16" s="394">
        <f t="shared" si="3"/>
        <v>0</v>
      </c>
      <c r="AC16" s="392">
        <f t="shared" si="3"/>
        <v>0</v>
      </c>
      <c r="AD16" s="392">
        <f t="shared" si="3"/>
        <v>0</v>
      </c>
      <c r="AE16" s="392">
        <f t="shared" si="3"/>
        <v>0</v>
      </c>
      <c r="AF16" s="392">
        <f t="shared" si="3"/>
        <v>0</v>
      </c>
      <c r="AG16" s="393">
        <f t="shared" si="3"/>
        <v>0</v>
      </c>
      <c r="AH16" s="393">
        <f t="shared" si="3"/>
        <v>0</v>
      </c>
      <c r="AI16" s="393">
        <f t="shared" si="3"/>
        <v>0</v>
      </c>
      <c r="AJ16" s="393">
        <f t="shared" si="3"/>
        <v>0</v>
      </c>
      <c r="AK16" s="394">
        <f t="shared" si="3"/>
        <v>0</v>
      </c>
      <c r="AL16" s="394">
        <f t="shared" si="3"/>
        <v>0</v>
      </c>
      <c r="AM16" s="394">
        <f t="shared" si="3"/>
        <v>0</v>
      </c>
      <c r="AN16" s="394">
        <f t="shared" si="3"/>
        <v>0</v>
      </c>
    </row>
    <row r="17" spans="1:40" ht="14.95" thickBot="1" x14ac:dyDescent="0.3">
      <c r="A17" s="387"/>
      <c r="B17" s="388"/>
      <c r="C17" s="732" t="s">
        <v>108</v>
      </c>
      <c r="D17" s="733"/>
      <c r="E17" s="734"/>
      <c r="F17" s="552">
        <f t="shared" ref="F17:R17" si="4">SUM(F3:F14)</f>
        <v>0</v>
      </c>
      <c r="G17" s="552">
        <f t="shared" si="4"/>
        <v>0</v>
      </c>
      <c r="H17" s="552">
        <f t="shared" si="4"/>
        <v>0</v>
      </c>
      <c r="I17" s="552">
        <f t="shared" si="4"/>
        <v>0</v>
      </c>
      <c r="J17" s="552">
        <f t="shared" si="4"/>
        <v>0</v>
      </c>
      <c r="K17" s="552">
        <f t="shared" si="4"/>
        <v>0</v>
      </c>
      <c r="L17" s="552">
        <f t="shared" si="4"/>
        <v>0</v>
      </c>
      <c r="M17" s="552">
        <f t="shared" si="4"/>
        <v>0</v>
      </c>
      <c r="N17" s="552">
        <f t="shared" si="4"/>
        <v>0</v>
      </c>
      <c r="O17" s="552">
        <f t="shared" si="4"/>
        <v>0</v>
      </c>
      <c r="P17" s="552">
        <f t="shared" si="4"/>
        <v>0</v>
      </c>
      <c r="Q17" s="552">
        <f t="shared" si="4"/>
        <v>0</v>
      </c>
      <c r="R17" s="552">
        <f t="shared" si="4"/>
        <v>0</v>
      </c>
      <c r="S17" s="548"/>
      <c r="T17" s="548"/>
      <c r="U17" s="548"/>
      <c r="V17" s="548"/>
      <c r="W17" s="13"/>
      <c r="X17" s="596" t="s">
        <v>108</v>
      </c>
      <c r="Y17" s="552">
        <f t="shared" ref="Y17:AN17" si="5">SUM(Y3:Y14)</f>
        <v>0</v>
      </c>
      <c r="Z17" s="552">
        <f t="shared" si="5"/>
        <v>0</v>
      </c>
      <c r="AA17" s="552">
        <f t="shared" si="5"/>
        <v>0</v>
      </c>
      <c r="AB17" s="552">
        <f t="shared" si="5"/>
        <v>0</v>
      </c>
      <c r="AC17" s="550">
        <f t="shared" si="5"/>
        <v>0</v>
      </c>
      <c r="AD17" s="550">
        <f t="shared" si="5"/>
        <v>0</v>
      </c>
      <c r="AE17" s="550">
        <f t="shared" si="5"/>
        <v>0</v>
      </c>
      <c r="AF17" s="550">
        <f t="shared" si="5"/>
        <v>0</v>
      </c>
      <c r="AG17" s="551">
        <f t="shared" si="5"/>
        <v>0</v>
      </c>
      <c r="AH17" s="551">
        <f t="shared" si="5"/>
        <v>0</v>
      </c>
      <c r="AI17" s="551">
        <f t="shared" si="5"/>
        <v>0</v>
      </c>
      <c r="AJ17" s="551">
        <f t="shared" si="5"/>
        <v>0</v>
      </c>
      <c r="AK17" s="552">
        <f t="shared" si="5"/>
        <v>0</v>
      </c>
      <c r="AL17" s="552">
        <f t="shared" si="5"/>
        <v>0</v>
      </c>
      <c r="AM17" s="552">
        <f t="shared" si="5"/>
        <v>0</v>
      </c>
      <c r="AN17" s="552">
        <f t="shared" si="5"/>
        <v>0</v>
      </c>
    </row>
    <row r="18" spans="1:40" x14ac:dyDescent="0.25">
      <c r="A18" s="767" t="s">
        <v>501</v>
      </c>
      <c r="B18" s="768"/>
      <c r="C18" s="768"/>
      <c r="D18" s="768"/>
      <c r="E18" s="768"/>
      <c r="F18" s="768"/>
      <c r="G18" s="768"/>
      <c r="H18" s="768"/>
      <c r="I18" s="768"/>
      <c r="J18" s="768"/>
      <c r="K18" s="768"/>
      <c r="L18" s="768"/>
      <c r="M18" s="768"/>
      <c r="N18" s="768"/>
      <c r="O18" s="768"/>
      <c r="P18" s="768"/>
      <c r="Q18" s="768"/>
      <c r="R18" s="768"/>
      <c r="S18" s="768"/>
      <c r="T18" s="768"/>
      <c r="U18" s="768"/>
      <c r="V18" s="768"/>
      <c r="W18" s="768"/>
      <c r="X18" s="768"/>
      <c r="Y18" s="768"/>
      <c r="Z18" s="768"/>
      <c r="AA18" s="768"/>
      <c r="AB18" s="768"/>
      <c r="AC18" s="768"/>
      <c r="AD18" s="768"/>
      <c r="AE18" s="768"/>
      <c r="AF18" s="768"/>
      <c r="AG18" s="768"/>
      <c r="AH18" s="768"/>
      <c r="AI18" s="768"/>
      <c r="AJ18" s="768"/>
      <c r="AK18" s="768"/>
      <c r="AL18" s="768"/>
      <c r="AM18" s="768"/>
      <c r="AN18" s="768"/>
    </row>
    <row r="19" spans="1:40" x14ac:dyDescent="0.25">
      <c r="A19" s="762"/>
      <c r="B19" s="725"/>
      <c r="C19" s="725"/>
      <c r="D19" s="725"/>
      <c r="E19" s="725"/>
      <c r="F19" s="725"/>
      <c r="G19" s="725"/>
      <c r="H19" s="725"/>
      <c r="I19" s="725"/>
      <c r="J19" s="725"/>
      <c r="K19" s="725"/>
      <c r="L19" s="725"/>
      <c r="M19" s="725"/>
      <c r="N19" s="725"/>
      <c r="O19" s="725"/>
      <c r="P19" s="725"/>
      <c r="Q19" s="725"/>
      <c r="R19" s="725"/>
    </row>
    <row r="25" spans="1:40" x14ac:dyDescent="0.25">
      <c r="A25" s="249" t="s">
        <v>226</v>
      </c>
    </row>
    <row r="26" spans="1:40" x14ac:dyDescent="0.25">
      <c r="A26" s="156"/>
      <c r="B26" t="s">
        <v>44</v>
      </c>
    </row>
    <row r="27" spans="1:40" x14ac:dyDescent="0.25">
      <c r="A27" s="154"/>
      <c r="B27" t="s">
        <v>42</v>
      </c>
    </row>
    <row r="28" spans="1:40" x14ac:dyDescent="0.25">
      <c r="A28" s="155"/>
      <c r="B28" t="s">
        <v>43</v>
      </c>
    </row>
    <row r="29" spans="1:40" x14ac:dyDescent="0.25">
      <c r="A29" s="15" t="s">
        <v>28</v>
      </c>
    </row>
  </sheetData>
  <mergeCells count="15">
    <mergeCell ref="A19:R19"/>
    <mergeCell ref="Y1:AB1"/>
    <mergeCell ref="AC1:AF1"/>
    <mergeCell ref="AG1:AJ1"/>
    <mergeCell ref="A18:AN18"/>
    <mergeCell ref="AK1:AN1"/>
    <mergeCell ref="C15:E15"/>
    <mergeCell ref="C16:E16"/>
    <mergeCell ref="C17:E17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23"/>
  <sheetViews>
    <sheetView tabSelected="1" zoomScaleNormal="100" workbookViewId="0">
      <pane ySplit="2" topLeftCell="A3" activePane="bottomLeft" state="frozen"/>
      <selection pane="bottomLeft" activeCell="N7" sqref="N7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bestFit="1" customWidth="1"/>
    <col min="5" max="18" width="3.625" customWidth="1"/>
    <col min="19" max="20" width="6.375" customWidth="1"/>
    <col min="21" max="21" width="30.5" bestFit="1" customWidth="1"/>
    <col min="22" max="22" width="22.5" bestFit="1" customWidth="1"/>
    <col min="23" max="23" width="27.5" bestFit="1" customWidth="1"/>
    <col min="24" max="24" width="30.5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792" t="s">
        <v>222</v>
      </c>
      <c r="B1" s="793"/>
      <c r="C1" s="793"/>
      <c r="D1" s="508"/>
      <c r="E1" s="794" t="s">
        <v>24</v>
      </c>
      <c r="F1" s="795"/>
      <c r="G1" s="796"/>
      <c r="H1" s="794" t="s">
        <v>220</v>
      </c>
      <c r="I1" s="796"/>
      <c r="J1" s="786" t="s">
        <v>6</v>
      </c>
      <c r="K1" s="787"/>
      <c r="L1" s="787"/>
      <c r="M1" s="788"/>
      <c r="N1" s="786" t="s">
        <v>7</v>
      </c>
      <c r="O1" s="788"/>
      <c r="P1" s="786" t="s">
        <v>25</v>
      </c>
      <c r="Q1" s="787"/>
      <c r="R1" s="788"/>
      <c r="S1" s="521" t="s">
        <v>8</v>
      </c>
      <c r="T1" s="521" t="s">
        <v>9</v>
      </c>
      <c r="U1" s="509" t="s">
        <v>10</v>
      </c>
      <c r="V1" s="485" t="s">
        <v>11</v>
      </c>
      <c r="W1" s="510" t="s">
        <v>26</v>
      </c>
      <c r="X1" s="511" t="s">
        <v>27</v>
      </c>
      <c r="Y1" s="783" t="s">
        <v>20</v>
      </c>
      <c r="Z1" s="784"/>
      <c r="AA1" s="784"/>
      <c r="AB1" s="785"/>
      <c r="AC1" s="783" t="s">
        <v>61</v>
      </c>
      <c r="AD1" s="784"/>
      <c r="AE1" s="784"/>
      <c r="AF1" s="785"/>
      <c r="AG1" s="783" t="s">
        <v>62</v>
      </c>
      <c r="AH1" s="784"/>
      <c r="AI1" s="784"/>
      <c r="AJ1" s="785"/>
      <c r="AK1" s="783" t="s">
        <v>63</v>
      </c>
      <c r="AL1" s="784"/>
      <c r="AM1" s="784"/>
      <c r="AN1" s="785"/>
      <c r="AP1" s="402" t="s">
        <v>183</v>
      </c>
      <c r="AQ1" s="520"/>
      <c r="AR1" s="520"/>
      <c r="AS1" s="402" t="s">
        <v>183</v>
      </c>
    </row>
    <row r="2" spans="1:46" ht="14.95" customHeight="1" thickBot="1" x14ac:dyDescent="0.3">
      <c r="A2" s="512" t="s">
        <v>19</v>
      </c>
      <c r="B2" s="342" t="s">
        <v>18</v>
      </c>
      <c r="C2" s="352" t="s">
        <v>17</v>
      </c>
      <c r="D2" s="352" t="s">
        <v>41</v>
      </c>
      <c r="E2" s="513" t="s">
        <v>16</v>
      </c>
      <c r="F2" s="513" t="s">
        <v>4</v>
      </c>
      <c r="G2" s="513" t="s">
        <v>5</v>
      </c>
      <c r="H2" s="514" t="s">
        <v>12</v>
      </c>
      <c r="I2" s="514" t="s">
        <v>3</v>
      </c>
      <c r="J2" s="514" t="s">
        <v>12</v>
      </c>
      <c r="K2" s="514" t="s">
        <v>13</v>
      </c>
      <c r="L2" s="514" t="s">
        <v>2</v>
      </c>
      <c r="M2" s="514" t="s">
        <v>14</v>
      </c>
      <c r="N2" s="514" t="s">
        <v>15</v>
      </c>
      <c r="O2" s="514" t="s">
        <v>16</v>
      </c>
      <c r="P2" s="514" t="s">
        <v>21</v>
      </c>
      <c r="Q2" s="514" t="s">
        <v>22</v>
      </c>
      <c r="R2" s="514" t="s">
        <v>12</v>
      </c>
      <c r="S2" s="515"/>
      <c r="T2" s="516"/>
      <c r="U2" s="517"/>
      <c r="V2" s="515"/>
      <c r="W2" s="486"/>
      <c r="X2" s="518"/>
      <c r="Y2" s="519" t="s">
        <v>0</v>
      </c>
      <c r="Z2" s="519" t="s">
        <v>1</v>
      </c>
      <c r="AA2" s="519" t="s">
        <v>2</v>
      </c>
      <c r="AB2" s="519" t="s">
        <v>3</v>
      </c>
      <c r="AC2" s="519" t="s">
        <v>0</v>
      </c>
      <c r="AD2" s="519" t="s">
        <v>1</v>
      </c>
      <c r="AE2" s="519" t="s">
        <v>2</v>
      </c>
      <c r="AF2" s="519" t="s">
        <v>3</v>
      </c>
      <c r="AG2" s="519" t="s">
        <v>0</v>
      </c>
      <c r="AH2" s="519" t="s">
        <v>1</v>
      </c>
      <c r="AI2" s="519" t="s">
        <v>2</v>
      </c>
      <c r="AJ2" s="519" t="s">
        <v>3</v>
      </c>
      <c r="AK2" s="519" t="s">
        <v>0</v>
      </c>
      <c r="AL2" s="519" t="s">
        <v>1</v>
      </c>
      <c r="AM2" s="519" t="s">
        <v>2</v>
      </c>
      <c r="AN2" s="519" t="s">
        <v>3</v>
      </c>
      <c r="AP2" s="481" t="s">
        <v>108</v>
      </c>
      <c r="AQ2" s="249"/>
      <c r="AS2" s="482" t="s">
        <v>167</v>
      </c>
      <c r="AT2" s="249"/>
    </row>
    <row r="3" spans="1:46" ht="14.95" customHeight="1" thickBot="1" x14ac:dyDescent="0.3">
      <c r="A3" s="183">
        <v>43133</v>
      </c>
      <c r="B3" s="174" t="s">
        <v>46</v>
      </c>
      <c r="C3" s="174" t="s">
        <v>34</v>
      </c>
      <c r="D3" s="174" t="s">
        <v>115</v>
      </c>
      <c r="E3" s="175" t="s">
        <v>3</v>
      </c>
      <c r="F3" s="175">
        <v>17</v>
      </c>
      <c r="G3" s="175">
        <v>24</v>
      </c>
      <c r="H3" s="175">
        <v>0</v>
      </c>
      <c r="I3" s="175">
        <v>1</v>
      </c>
      <c r="J3" s="175">
        <v>2</v>
      </c>
      <c r="K3" s="175">
        <v>2</v>
      </c>
      <c r="L3" s="175">
        <v>0</v>
      </c>
      <c r="M3" s="175">
        <v>1</v>
      </c>
      <c r="N3" s="175">
        <v>0</v>
      </c>
      <c r="O3" s="175">
        <v>0</v>
      </c>
      <c r="P3" s="175">
        <v>0</v>
      </c>
      <c r="Q3" s="175">
        <v>0</v>
      </c>
      <c r="R3" s="175">
        <v>3</v>
      </c>
      <c r="S3" s="176">
        <v>79310</v>
      </c>
      <c r="T3" s="219" t="s">
        <v>215</v>
      </c>
      <c r="U3" s="177" t="s">
        <v>140</v>
      </c>
      <c r="V3" s="176" t="s">
        <v>242</v>
      </c>
      <c r="W3" s="178" t="s">
        <v>121</v>
      </c>
      <c r="X3" s="179" t="s">
        <v>130</v>
      </c>
      <c r="Y3" s="180">
        <v>1</v>
      </c>
      <c r="Z3" s="180">
        <v>0</v>
      </c>
      <c r="AA3" s="180">
        <v>0</v>
      </c>
      <c r="AB3" s="181">
        <v>1</v>
      </c>
      <c r="AC3" s="180">
        <v>0</v>
      </c>
      <c r="AD3" s="180">
        <v>0</v>
      </c>
      <c r="AE3" s="180">
        <v>0</v>
      </c>
      <c r="AF3" s="181">
        <v>0</v>
      </c>
      <c r="AG3" s="180">
        <v>1</v>
      </c>
      <c r="AH3" s="180">
        <v>0</v>
      </c>
      <c r="AI3" s="180">
        <v>0</v>
      </c>
      <c r="AJ3" s="181">
        <v>1</v>
      </c>
      <c r="AK3" s="180">
        <v>0</v>
      </c>
      <c r="AL3" s="180">
        <v>0</v>
      </c>
      <c r="AM3" s="180">
        <v>0</v>
      </c>
      <c r="AN3" s="181">
        <v>0</v>
      </c>
      <c r="AP3" s="501" t="s">
        <v>170</v>
      </c>
      <c r="AQ3" s="502">
        <f>Englandalltestshistplayed</f>
        <v>751</v>
      </c>
      <c r="AS3" s="501" t="s">
        <v>170</v>
      </c>
      <c r="AT3" s="502">
        <f>EnglandRWChistplayed</f>
        <v>50</v>
      </c>
    </row>
    <row r="4" spans="1:46" ht="14.95" customHeight="1" thickBot="1" x14ac:dyDescent="0.35">
      <c r="A4" s="183">
        <v>43869</v>
      </c>
      <c r="B4" s="174" t="s">
        <v>46</v>
      </c>
      <c r="C4" s="174" t="s">
        <v>35</v>
      </c>
      <c r="D4" s="174" t="s">
        <v>119</v>
      </c>
      <c r="E4" s="175" t="s">
        <v>1</v>
      </c>
      <c r="F4" s="175">
        <v>13</v>
      </c>
      <c r="G4" s="175">
        <v>6</v>
      </c>
      <c r="H4" s="175">
        <v>0</v>
      </c>
      <c r="I4" s="175">
        <v>0</v>
      </c>
      <c r="J4" s="175">
        <v>1</v>
      </c>
      <c r="K4" s="175">
        <v>1</v>
      </c>
      <c r="L4" s="175">
        <v>0</v>
      </c>
      <c r="M4" s="175">
        <v>2</v>
      </c>
      <c r="N4" s="175">
        <v>0</v>
      </c>
      <c r="O4" s="175">
        <v>0</v>
      </c>
      <c r="P4" s="175">
        <v>0</v>
      </c>
      <c r="Q4" s="175">
        <v>1</v>
      </c>
      <c r="R4" s="175">
        <v>0</v>
      </c>
      <c r="S4" s="176">
        <v>67000</v>
      </c>
      <c r="T4" s="346" t="s">
        <v>259</v>
      </c>
      <c r="U4" s="177" t="s">
        <v>136</v>
      </c>
      <c r="V4" s="176" t="s">
        <v>218</v>
      </c>
      <c r="W4" s="178" t="s">
        <v>127</v>
      </c>
      <c r="X4" s="179" t="s">
        <v>126</v>
      </c>
      <c r="Y4" s="180">
        <v>1</v>
      </c>
      <c r="Z4" s="180">
        <v>1</v>
      </c>
      <c r="AA4" s="180">
        <v>0</v>
      </c>
      <c r="AB4" s="181">
        <v>0</v>
      </c>
      <c r="AC4" s="180">
        <v>0</v>
      </c>
      <c r="AD4" s="180">
        <v>0</v>
      </c>
      <c r="AE4" s="180">
        <v>0</v>
      </c>
      <c r="AF4" s="181">
        <v>0</v>
      </c>
      <c r="AG4" s="180">
        <v>1</v>
      </c>
      <c r="AH4" s="180">
        <v>1</v>
      </c>
      <c r="AI4" s="180">
        <v>0</v>
      </c>
      <c r="AJ4" s="181">
        <v>0</v>
      </c>
      <c r="AK4" s="180">
        <v>0</v>
      </c>
      <c r="AL4" s="180">
        <v>0</v>
      </c>
      <c r="AM4" s="180">
        <v>0</v>
      </c>
      <c r="AN4" s="181">
        <v>0</v>
      </c>
      <c r="AP4" s="503" t="s">
        <v>171</v>
      </c>
      <c r="AQ4" s="504">
        <f>Englandalltestshistwon</f>
        <v>419</v>
      </c>
      <c r="AS4" s="503" t="s">
        <v>171</v>
      </c>
      <c r="AT4" s="504">
        <f>EnglandRWChistwon</f>
        <v>36</v>
      </c>
    </row>
    <row r="5" spans="1:46" ht="14.95" customHeight="1" thickBot="1" x14ac:dyDescent="0.35">
      <c r="A5" s="191">
        <v>43884</v>
      </c>
      <c r="B5" s="192" t="s">
        <v>46</v>
      </c>
      <c r="C5" s="192" t="s">
        <v>39</v>
      </c>
      <c r="D5" s="192" t="s">
        <v>118</v>
      </c>
      <c r="E5" s="193" t="s">
        <v>1</v>
      </c>
      <c r="F5" s="193">
        <v>24</v>
      </c>
      <c r="G5" s="193">
        <v>12</v>
      </c>
      <c r="H5" s="193">
        <v>0</v>
      </c>
      <c r="I5" s="193">
        <v>0</v>
      </c>
      <c r="J5" s="193">
        <v>3</v>
      </c>
      <c r="K5" s="193">
        <v>3</v>
      </c>
      <c r="L5" s="193">
        <v>0</v>
      </c>
      <c r="M5" s="193">
        <v>1</v>
      </c>
      <c r="N5" s="193">
        <v>0</v>
      </c>
      <c r="O5" s="193">
        <v>0</v>
      </c>
      <c r="P5" s="193">
        <v>0</v>
      </c>
      <c r="Q5" s="193">
        <v>0</v>
      </c>
      <c r="R5" s="193">
        <v>2</v>
      </c>
      <c r="S5" s="205">
        <v>81476</v>
      </c>
      <c r="T5" s="312" t="s">
        <v>214</v>
      </c>
      <c r="U5" s="206" t="s">
        <v>141</v>
      </c>
      <c r="V5" s="205" t="s">
        <v>148</v>
      </c>
      <c r="W5" s="206" t="s">
        <v>122</v>
      </c>
      <c r="X5" s="194" t="s">
        <v>388</v>
      </c>
      <c r="Y5" s="208">
        <v>1</v>
      </c>
      <c r="Z5" s="208">
        <v>1</v>
      </c>
      <c r="AA5" s="208">
        <v>0</v>
      </c>
      <c r="AB5" s="209">
        <v>0</v>
      </c>
      <c r="AC5" s="208">
        <v>1</v>
      </c>
      <c r="AD5" s="208">
        <v>1</v>
      </c>
      <c r="AE5" s="208">
        <v>0</v>
      </c>
      <c r="AF5" s="209">
        <v>0</v>
      </c>
      <c r="AG5" s="208">
        <v>0</v>
      </c>
      <c r="AH5" s="208">
        <v>0</v>
      </c>
      <c r="AI5" s="208">
        <v>0</v>
      </c>
      <c r="AJ5" s="209">
        <v>0</v>
      </c>
      <c r="AK5" s="208">
        <v>0</v>
      </c>
      <c r="AL5" s="208">
        <v>0</v>
      </c>
      <c r="AM5" s="208">
        <v>0</v>
      </c>
      <c r="AN5" s="209">
        <v>0</v>
      </c>
      <c r="AP5" s="503" t="s">
        <v>177</v>
      </c>
      <c r="AQ5" s="504">
        <f>Englandalltestshistdrawn</f>
        <v>51</v>
      </c>
      <c r="AS5" s="503" t="s">
        <v>177</v>
      </c>
      <c r="AT5" s="504">
        <f>EnglandRWChistdrawn</f>
        <v>0</v>
      </c>
    </row>
    <row r="6" spans="1:46" ht="14.95" customHeight="1" thickBot="1" x14ac:dyDescent="0.35">
      <c r="A6" s="191">
        <v>43897</v>
      </c>
      <c r="B6" s="192" t="s">
        <v>46</v>
      </c>
      <c r="C6" s="192" t="s">
        <v>32</v>
      </c>
      <c r="D6" s="192" t="s">
        <v>118</v>
      </c>
      <c r="E6" s="193" t="s">
        <v>1</v>
      </c>
      <c r="F6" s="193">
        <v>33</v>
      </c>
      <c r="G6" s="193">
        <v>30</v>
      </c>
      <c r="H6" s="193">
        <v>0</v>
      </c>
      <c r="I6" s="193">
        <v>0</v>
      </c>
      <c r="J6" s="193">
        <v>3</v>
      </c>
      <c r="K6" s="193">
        <v>3</v>
      </c>
      <c r="L6" s="193">
        <v>0</v>
      </c>
      <c r="M6" s="193">
        <v>4</v>
      </c>
      <c r="N6" s="193">
        <v>1</v>
      </c>
      <c r="O6" s="193">
        <v>1</v>
      </c>
      <c r="P6" s="193">
        <v>0</v>
      </c>
      <c r="Q6" s="193">
        <v>1</v>
      </c>
      <c r="R6" s="193">
        <v>3</v>
      </c>
      <c r="S6" s="205">
        <v>82000</v>
      </c>
      <c r="T6" s="312" t="s">
        <v>206</v>
      </c>
      <c r="U6" s="206" t="s">
        <v>150</v>
      </c>
      <c r="V6" s="205" t="s">
        <v>148</v>
      </c>
      <c r="W6" s="194" t="s">
        <v>122</v>
      </c>
      <c r="X6" s="207" t="s">
        <v>388</v>
      </c>
      <c r="Y6" s="208">
        <v>1</v>
      </c>
      <c r="Z6" s="208">
        <v>1</v>
      </c>
      <c r="AA6" s="208">
        <v>0</v>
      </c>
      <c r="AB6" s="209">
        <v>0</v>
      </c>
      <c r="AC6" s="208">
        <v>1</v>
      </c>
      <c r="AD6" s="208">
        <v>1</v>
      </c>
      <c r="AE6" s="208">
        <v>0</v>
      </c>
      <c r="AF6" s="209">
        <v>0</v>
      </c>
      <c r="AG6" s="208">
        <v>0</v>
      </c>
      <c r="AH6" s="208">
        <v>0</v>
      </c>
      <c r="AI6" s="208">
        <v>0</v>
      </c>
      <c r="AJ6" s="209">
        <v>0</v>
      </c>
      <c r="AK6" s="208">
        <v>0</v>
      </c>
      <c r="AL6" s="208">
        <v>0</v>
      </c>
      <c r="AM6" s="208">
        <v>0</v>
      </c>
      <c r="AN6" s="209">
        <v>0</v>
      </c>
      <c r="AP6" s="503" t="s">
        <v>172</v>
      </c>
      <c r="AQ6" s="504">
        <f>Englandalltestshistlost</f>
        <v>281</v>
      </c>
      <c r="AS6" s="503" t="s">
        <v>172</v>
      </c>
      <c r="AT6" s="504">
        <f>EnglandRWChistlost</f>
        <v>14</v>
      </c>
    </row>
    <row r="7" spans="1:46" ht="14.95" customHeight="1" thickBot="1" x14ac:dyDescent="0.35">
      <c r="A7" s="183">
        <v>44135</v>
      </c>
      <c r="B7" s="174" t="s">
        <v>46</v>
      </c>
      <c r="C7" s="174" t="s">
        <v>33</v>
      </c>
      <c r="D7" s="174" t="s">
        <v>116</v>
      </c>
      <c r="E7" s="175" t="s">
        <v>1</v>
      </c>
      <c r="F7" s="175">
        <v>34</v>
      </c>
      <c r="G7" s="175">
        <v>5</v>
      </c>
      <c r="H7" s="175">
        <v>1</v>
      </c>
      <c r="I7" s="175">
        <v>0</v>
      </c>
      <c r="J7" s="175">
        <v>5</v>
      </c>
      <c r="K7" s="175">
        <v>3</v>
      </c>
      <c r="L7" s="175">
        <v>0</v>
      </c>
      <c r="M7" s="175">
        <v>1</v>
      </c>
      <c r="N7" s="175">
        <v>1</v>
      </c>
      <c r="O7" s="175">
        <v>0</v>
      </c>
      <c r="P7" s="175">
        <v>0</v>
      </c>
      <c r="Q7" s="175">
        <v>0</v>
      </c>
      <c r="R7" s="175">
        <v>1</v>
      </c>
      <c r="S7" s="176">
        <v>0</v>
      </c>
      <c r="T7" s="346" t="s">
        <v>422</v>
      </c>
      <c r="U7" s="177" t="s">
        <v>136</v>
      </c>
      <c r="V7" s="176" t="s">
        <v>122</v>
      </c>
      <c r="W7" s="178" t="s">
        <v>388</v>
      </c>
      <c r="X7" s="179" t="s">
        <v>413</v>
      </c>
      <c r="Y7" s="180">
        <v>1</v>
      </c>
      <c r="Z7" s="180">
        <v>1</v>
      </c>
      <c r="AA7" s="180">
        <v>0</v>
      </c>
      <c r="AB7" s="181">
        <v>0</v>
      </c>
      <c r="AC7" s="180">
        <v>0</v>
      </c>
      <c r="AD7" s="180">
        <v>0</v>
      </c>
      <c r="AE7" s="180">
        <v>0</v>
      </c>
      <c r="AF7" s="181">
        <v>0</v>
      </c>
      <c r="AG7" s="180">
        <v>1</v>
      </c>
      <c r="AH7" s="180">
        <v>1</v>
      </c>
      <c r="AI7" s="180">
        <v>0</v>
      </c>
      <c r="AJ7" s="181">
        <v>0</v>
      </c>
      <c r="AK7" s="180">
        <v>0</v>
      </c>
      <c r="AL7" s="180">
        <v>0</v>
      </c>
      <c r="AM7" s="180">
        <v>0</v>
      </c>
      <c r="AN7" s="181">
        <v>0</v>
      </c>
      <c r="AP7" s="503" t="s">
        <v>178</v>
      </c>
      <c r="AQ7" s="504">
        <f>Englandalltestshistptsscored</f>
        <v>13182</v>
      </c>
      <c r="AS7" s="503" t="s">
        <v>178</v>
      </c>
      <c r="AT7" s="504">
        <f>EnglandRWChistptsscored</f>
        <v>1569</v>
      </c>
    </row>
    <row r="8" spans="1:46" ht="14.95" customHeight="1" thickBot="1" x14ac:dyDescent="0.35">
      <c r="A8" s="191">
        <v>44149</v>
      </c>
      <c r="B8" s="192" t="s">
        <v>362</v>
      </c>
      <c r="C8" s="192" t="s">
        <v>38</v>
      </c>
      <c r="D8" s="192" t="s">
        <v>118</v>
      </c>
      <c r="E8" s="193" t="s">
        <v>1</v>
      </c>
      <c r="F8" s="193">
        <v>40</v>
      </c>
      <c r="G8" s="193">
        <v>0</v>
      </c>
      <c r="H8" s="193">
        <v>1</v>
      </c>
      <c r="I8" s="193">
        <v>0</v>
      </c>
      <c r="J8" s="193">
        <v>6</v>
      </c>
      <c r="K8" s="193">
        <v>5</v>
      </c>
      <c r="L8" s="193">
        <v>0</v>
      </c>
      <c r="M8" s="193">
        <v>0</v>
      </c>
      <c r="N8" s="193">
        <v>0</v>
      </c>
      <c r="O8" s="193">
        <v>0</v>
      </c>
      <c r="P8" s="193">
        <v>0</v>
      </c>
      <c r="Q8" s="193">
        <v>0</v>
      </c>
      <c r="R8" s="193">
        <v>0</v>
      </c>
      <c r="S8" s="205">
        <v>0</v>
      </c>
      <c r="T8" s="312" t="s">
        <v>405</v>
      </c>
      <c r="U8" s="206" t="s">
        <v>140</v>
      </c>
      <c r="V8" s="205" t="s">
        <v>159</v>
      </c>
      <c r="W8" s="205" t="s">
        <v>308</v>
      </c>
      <c r="X8" s="205" t="s">
        <v>461</v>
      </c>
      <c r="Y8" s="208">
        <v>1</v>
      </c>
      <c r="Z8" s="208">
        <v>1</v>
      </c>
      <c r="AA8" s="208">
        <v>0</v>
      </c>
      <c r="AB8" s="209">
        <v>0</v>
      </c>
      <c r="AC8" s="208">
        <v>1</v>
      </c>
      <c r="AD8" s="208">
        <v>1</v>
      </c>
      <c r="AE8" s="208">
        <v>0</v>
      </c>
      <c r="AF8" s="209">
        <v>0</v>
      </c>
      <c r="AG8" s="208">
        <v>0</v>
      </c>
      <c r="AH8" s="208">
        <v>0</v>
      </c>
      <c r="AI8" s="208">
        <v>0</v>
      </c>
      <c r="AJ8" s="209">
        <v>0</v>
      </c>
      <c r="AK8" s="208">
        <v>0</v>
      </c>
      <c r="AL8" s="208">
        <v>0</v>
      </c>
      <c r="AM8" s="208">
        <v>0</v>
      </c>
      <c r="AN8" s="209">
        <v>0</v>
      </c>
      <c r="AP8" s="503" t="s">
        <v>179</v>
      </c>
      <c r="AQ8" s="504">
        <f>Englandalltestshistptsagainst</f>
        <v>9607</v>
      </c>
      <c r="AS8" s="503" t="s">
        <v>179</v>
      </c>
      <c r="AT8" s="504">
        <f>EnglandRWChistptsagainst</f>
        <v>783</v>
      </c>
    </row>
    <row r="9" spans="1:46" ht="14.95" customHeight="1" thickBot="1" x14ac:dyDescent="0.35">
      <c r="A9" s="191">
        <v>44156</v>
      </c>
      <c r="B9" s="192" t="s">
        <v>362</v>
      </c>
      <c r="C9" s="192" t="s">
        <v>39</v>
      </c>
      <c r="D9" s="192" t="s">
        <v>118</v>
      </c>
      <c r="E9" s="193" t="s">
        <v>1</v>
      </c>
      <c r="F9" s="193">
        <v>18</v>
      </c>
      <c r="G9" s="193">
        <v>7</v>
      </c>
      <c r="H9" s="193">
        <v>0</v>
      </c>
      <c r="I9" s="193">
        <v>0</v>
      </c>
      <c r="J9" s="193">
        <v>2</v>
      </c>
      <c r="K9" s="193">
        <v>1</v>
      </c>
      <c r="L9" s="193">
        <v>0</v>
      </c>
      <c r="M9" s="193">
        <v>2</v>
      </c>
      <c r="N9" s="193">
        <v>0</v>
      </c>
      <c r="O9" s="193">
        <v>0</v>
      </c>
      <c r="P9" s="193">
        <v>0</v>
      </c>
      <c r="Q9" s="193">
        <v>0</v>
      </c>
      <c r="R9" s="193">
        <v>1</v>
      </c>
      <c r="S9" s="205">
        <v>0</v>
      </c>
      <c r="T9" s="312" t="s">
        <v>478</v>
      </c>
      <c r="U9" s="206" t="s">
        <v>136</v>
      </c>
      <c r="V9" s="205" t="s">
        <v>140</v>
      </c>
      <c r="W9" s="205" t="s">
        <v>127</v>
      </c>
      <c r="X9" s="195" t="s">
        <v>388</v>
      </c>
      <c r="Y9" s="208">
        <v>1</v>
      </c>
      <c r="Z9" s="208">
        <v>1</v>
      </c>
      <c r="AA9" s="208">
        <v>0</v>
      </c>
      <c r="AB9" s="209">
        <v>0</v>
      </c>
      <c r="AC9" s="208">
        <v>1</v>
      </c>
      <c r="AD9" s="208">
        <v>1</v>
      </c>
      <c r="AE9" s="208">
        <v>0</v>
      </c>
      <c r="AF9" s="209">
        <v>0</v>
      </c>
      <c r="AG9" s="208">
        <v>0</v>
      </c>
      <c r="AH9" s="208">
        <v>0</v>
      </c>
      <c r="AI9" s="208">
        <v>0</v>
      </c>
      <c r="AJ9" s="209">
        <v>0</v>
      </c>
      <c r="AK9" s="208">
        <v>0</v>
      </c>
      <c r="AL9" s="208">
        <v>0</v>
      </c>
      <c r="AM9" s="208">
        <v>0</v>
      </c>
      <c r="AN9" s="209">
        <v>0</v>
      </c>
      <c r="AP9" s="503" t="s">
        <v>169</v>
      </c>
      <c r="AQ9" s="504">
        <f>Englandalltestshisttriesscored</f>
        <v>1710</v>
      </c>
      <c r="AS9" s="503" t="s">
        <v>169</v>
      </c>
      <c r="AT9" s="504">
        <f>EnglandRWChisttriesscored</f>
        <v>169</v>
      </c>
    </row>
    <row r="10" spans="1:46" ht="14.95" customHeight="1" thickBot="1" x14ac:dyDescent="0.35">
      <c r="A10" s="183">
        <v>44163</v>
      </c>
      <c r="B10" s="174" t="s">
        <v>362</v>
      </c>
      <c r="C10" s="174" t="s">
        <v>32</v>
      </c>
      <c r="D10" s="174" t="s">
        <v>363</v>
      </c>
      <c r="E10" s="175" t="s">
        <v>1</v>
      </c>
      <c r="F10" s="175">
        <v>24</v>
      </c>
      <c r="G10" s="175">
        <v>13</v>
      </c>
      <c r="H10" s="175">
        <v>0</v>
      </c>
      <c r="I10" s="175">
        <v>0</v>
      </c>
      <c r="J10" s="175">
        <v>2</v>
      </c>
      <c r="K10" s="175">
        <v>1</v>
      </c>
      <c r="L10" s="175">
        <v>0</v>
      </c>
      <c r="M10" s="175">
        <v>4</v>
      </c>
      <c r="N10" s="175">
        <v>0</v>
      </c>
      <c r="O10" s="175">
        <v>0</v>
      </c>
      <c r="P10" s="175">
        <v>0</v>
      </c>
      <c r="Q10" s="175">
        <v>0</v>
      </c>
      <c r="R10" s="175">
        <v>1</v>
      </c>
      <c r="S10" s="176">
        <v>0</v>
      </c>
      <c r="T10" s="346" t="s">
        <v>458</v>
      </c>
      <c r="U10" s="177" t="s">
        <v>122</v>
      </c>
      <c r="V10" s="176" t="s">
        <v>242</v>
      </c>
      <c r="W10" s="177" t="s">
        <v>136</v>
      </c>
      <c r="X10" s="176" t="s">
        <v>388</v>
      </c>
      <c r="Y10" s="180">
        <v>1</v>
      </c>
      <c r="Z10" s="180">
        <v>1</v>
      </c>
      <c r="AA10" s="180">
        <v>0</v>
      </c>
      <c r="AB10" s="181">
        <v>0</v>
      </c>
      <c r="AC10" s="180">
        <v>0</v>
      </c>
      <c r="AD10" s="180">
        <v>0</v>
      </c>
      <c r="AE10" s="180">
        <v>0</v>
      </c>
      <c r="AF10" s="181">
        <v>0</v>
      </c>
      <c r="AG10" s="180">
        <v>1</v>
      </c>
      <c r="AH10" s="180">
        <v>1</v>
      </c>
      <c r="AI10" s="180">
        <v>0</v>
      </c>
      <c r="AJ10" s="181">
        <v>0</v>
      </c>
      <c r="AK10" s="180">
        <v>0</v>
      </c>
      <c r="AL10" s="180">
        <v>0</v>
      </c>
      <c r="AM10" s="180">
        <v>0</v>
      </c>
      <c r="AN10" s="181">
        <v>0</v>
      </c>
    </row>
    <row r="11" spans="1:46" ht="14.95" customHeight="1" thickBot="1" x14ac:dyDescent="0.3">
      <c r="A11" s="191">
        <v>44171</v>
      </c>
      <c r="B11" s="192" t="s">
        <v>362</v>
      </c>
      <c r="C11" s="192" t="s">
        <v>514</v>
      </c>
      <c r="D11" s="192" t="s">
        <v>118</v>
      </c>
      <c r="E11" s="193" t="s">
        <v>1</v>
      </c>
      <c r="F11" s="193">
        <v>22</v>
      </c>
      <c r="G11" s="193">
        <v>19</v>
      </c>
      <c r="H11" s="193" t="s">
        <v>107</v>
      </c>
      <c r="I11" s="193" t="s">
        <v>107</v>
      </c>
      <c r="J11" s="193">
        <v>1</v>
      </c>
      <c r="K11" s="193">
        <v>1</v>
      </c>
      <c r="L11" s="193">
        <v>0</v>
      </c>
      <c r="M11" s="193">
        <v>5</v>
      </c>
      <c r="N11" s="193">
        <v>0</v>
      </c>
      <c r="O11" s="193">
        <v>0</v>
      </c>
      <c r="P11" s="193" t="s">
        <v>107</v>
      </c>
      <c r="Q11" s="193" t="s">
        <v>107</v>
      </c>
      <c r="R11" s="193">
        <v>1</v>
      </c>
      <c r="S11" s="194">
        <v>2000</v>
      </c>
      <c r="T11" s="707" t="s">
        <v>497</v>
      </c>
      <c r="U11" s="194" t="s">
        <v>516</v>
      </c>
      <c r="V11" s="194" t="s">
        <v>159</v>
      </c>
      <c r="W11" s="194" t="s">
        <v>154</v>
      </c>
      <c r="X11" s="207" t="s">
        <v>517</v>
      </c>
      <c r="Y11" s="208">
        <v>1</v>
      </c>
      <c r="Z11" s="208">
        <v>1</v>
      </c>
      <c r="AA11" s="208">
        <v>0</v>
      </c>
      <c r="AB11" s="209">
        <v>0</v>
      </c>
      <c r="AC11" s="208">
        <v>1</v>
      </c>
      <c r="AD11" s="208">
        <v>1</v>
      </c>
      <c r="AE11" s="208">
        <v>0</v>
      </c>
      <c r="AF11" s="209">
        <v>0</v>
      </c>
      <c r="AG11" s="208">
        <v>0</v>
      </c>
      <c r="AH11" s="208">
        <v>0</v>
      </c>
      <c r="AI11" s="208">
        <v>0</v>
      </c>
      <c r="AJ11" s="209">
        <v>0</v>
      </c>
      <c r="AK11" s="208">
        <v>0</v>
      </c>
      <c r="AL11" s="208">
        <v>0</v>
      </c>
      <c r="AM11" s="208">
        <v>0</v>
      </c>
      <c r="AN11" s="209">
        <v>0</v>
      </c>
    </row>
    <row r="12" spans="1:46" ht="14.95" thickBot="1" x14ac:dyDescent="0.3">
      <c r="A12" s="387"/>
      <c r="B12" s="388"/>
      <c r="C12" s="769" t="s">
        <v>110</v>
      </c>
      <c r="D12" s="770"/>
      <c r="E12" s="771"/>
      <c r="F12" s="386">
        <f>SUM(F3:F7)</f>
        <v>121</v>
      </c>
      <c r="G12" s="386">
        <f t="shared" ref="G12:R12" si="0">SUM(G3:G7)</f>
        <v>77</v>
      </c>
      <c r="H12" s="386">
        <f t="shared" si="0"/>
        <v>1</v>
      </c>
      <c r="I12" s="386">
        <f t="shared" si="0"/>
        <v>1</v>
      </c>
      <c r="J12" s="386">
        <f t="shared" si="0"/>
        <v>14</v>
      </c>
      <c r="K12" s="386">
        <f t="shared" si="0"/>
        <v>12</v>
      </c>
      <c r="L12" s="386">
        <f t="shared" si="0"/>
        <v>0</v>
      </c>
      <c r="M12" s="386">
        <f t="shared" si="0"/>
        <v>9</v>
      </c>
      <c r="N12" s="386">
        <f t="shared" si="0"/>
        <v>2</v>
      </c>
      <c r="O12" s="386">
        <f t="shared" si="0"/>
        <v>1</v>
      </c>
      <c r="P12" s="386">
        <f t="shared" si="0"/>
        <v>0</v>
      </c>
      <c r="Q12" s="386">
        <f t="shared" si="0"/>
        <v>2</v>
      </c>
      <c r="R12" s="386">
        <f t="shared" si="0"/>
        <v>9</v>
      </c>
      <c r="W12" s="383"/>
      <c r="X12" s="612" t="s">
        <v>110</v>
      </c>
      <c r="Y12" s="386">
        <f t="shared" ref="Y12:AN12" si="1">SUM(Y3:Y7)</f>
        <v>5</v>
      </c>
      <c r="Z12" s="386">
        <f t="shared" si="1"/>
        <v>4</v>
      </c>
      <c r="AA12" s="386">
        <f t="shared" si="1"/>
        <v>0</v>
      </c>
      <c r="AB12" s="386">
        <f t="shared" si="1"/>
        <v>1</v>
      </c>
      <c r="AC12" s="384">
        <f t="shared" si="1"/>
        <v>2</v>
      </c>
      <c r="AD12" s="384">
        <f t="shared" si="1"/>
        <v>2</v>
      </c>
      <c r="AE12" s="384">
        <f t="shared" si="1"/>
        <v>0</v>
      </c>
      <c r="AF12" s="384">
        <f t="shared" si="1"/>
        <v>0</v>
      </c>
      <c r="AG12" s="385">
        <f t="shared" si="1"/>
        <v>3</v>
      </c>
      <c r="AH12" s="385">
        <f t="shared" si="1"/>
        <v>2</v>
      </c>
      <c r="AI12" s="385">
        <f t="shared" si="1"/>
        <v>0</v>
      </c>
      <c r="AJ12" s="385">
        <f t="shared" si="1"/>
        <v>1</v>
      </c>
      <c r="AK12" s="386">
        <f t="shared" si="1"/>
        <v>0</v>
      </c>
      <c r="AL12" s="386">
        <f t="shared" si="1"/>
        <v>0</v>
      </c>
      <c r="AM12" s="386">
        <f t="shared" si="1"/>
        <v>0</v>
      </c>
      <c r="AN12" s="386">
        <f t="shared" si="1"/>
        <v>0</v>
      </c>
    </row>
    <row r="13" spans="1:46" ht="14.95" thickBot="1" x14ac:dyDescent="0.3">
      <c r="A13" s="387"/>
      <c r="B13" s="388"/>
      <c r="C13" s="789" t="s">
        <v>372</v>
      </c>
      <c r="D13" s="790"/>
      <c r="E13" s="791"/>
      <c r="F13" s="613">
        <f>SUM(F8:F11)</f>
        <v>104</v>
      </c>
      <c r="G13" s="613">
        <f t="shared" ref="G13:R13" si="2">SUM(G8:G11)</f>
        <v>39</v>
      </c>
      <c r="H13" s="613">
        <f t="shared" si="2"/>
        <v>1</v>
      </c>
      <c r="I13" s="613">
        <f t="shared" si="2"/>
        <v>0</v>
      </c>
      <c r="J13" s="613">
        <f t="shared" si="2"/>
        <v>11</v>
      </c>
      <c r="K13" s="613">
        <f t="shared" si="2"/>
        <v>8</v>
      </c>
      <c r="L13" s="613">
        <f t="shared" si="2"/>
        <v>0</v>
      </c>
      <c r="M13" s="613">
        <f t="shared" si="2"/>
        <v>11</v>
      </c>
      <c r="N13" s="613">
        <f t="shared" si="2"/>
        <v>0</v>
      </c>
      <c r="O13" s="613">
        <f t="shared" si="2"/>
        <v>0</v>
      </c>
      <c r="P13" s="613">
        <f t="shared" si="2"/>
        <v>0</v>
      </c>
      <c r="Q13" s="613">
        <f t="shared" si="2"/>
        <v>0</v>
      </c>
      <c r="R13" s="613">
        <f t="shared" si="2"/>
        <v>3</v>
      </c>
      <c r="S13" s="614"/>
      <c r="T13" s="614"/>
      <c r="U13" s="614"/>
      <c r="V13" s="614"/>
      <c r="W13" s="615"/>
      <c r="X13" s="616" t="s">
        <v>372</v>
      </c>
      <c r="Y13" s="613">
        <f t="shared" ref="Y13:AN13" si="3">SUM(Y8:Y11)</f>
        <v>4</v>
      </c>
      <c r="Z13" s="613">
        <f t="shared" si="3"/>
        <v>4</v>
      </c>
      <c r="AA13" s="613">
        <f t="shared" si="3"/>
        <v>0</v>
      </c>
      <c r="AB13" s="613">
        <f t="shared" si="3"/>
        <v>0</v>
      </c>
      <c r="AC13" s="617">
        <f t="shared" si="3"/>
        <v>3</v>
      </c>
      <c r="AD13" s="617">
        <f t="shared" si="3"/>
        <v>3</v>
      </c>
      <c r="AE13" s="617">
        <f t="shared" si="3"/>
        <v>0</v>
      </c>
      <c r="AF13" s="617">
        <f t="shared" si="3"/>
        <v>0</v>
      </c>
      <c r="AG13" s="618">
        <f t="shared" si="3"/>
        <v>1</v>
      </c>
      <c r="AH13" s="618">
        <f t="shared" si="3"/>
        <v>1</v>
      </c>
      <c r="AI13" s="618">
        <f t="shared" si="3"/>
        <v>0</v>
      </c>
      <c r="AJ13" s="618">
        <f t="shared" si="3"/>
        <v>0</v>
      </c>
      <c r="AK13" s="613">
        <f t="shared" si="3"/>
        <v>0</v>
      </c>
      <c r="AL13" s="613">
        <f t="shared" si="3"/>
        <v>0</v>
      </c>
      <c r="AM13" s="613">
        <f t="shared" si="3"/>
        <v>0</v>
      </c>
      <c r="AN13" s="613">
        <f t="shared" si="3"/>
        <v>0</v>
      </c>
    </row>
    <row r="14" spans="1:46" ht="15.8" customHeight="1" thickBot="1" x14ac:dyDescent="0.3">
      <c r="A14" s="387"/>
      <c r="B14" s="388"/>
      <c r="C14" s="732" t="s">
        <v>108</v>
      </c>
      <c r="D14" s="733"/>
      <c r="E14" s="734"/>
      <c r="F14" s="552">
        <f t="shared" ref="F14:R14" si="4">SUM(F3:F11)</f>
        <v>225</v>
      </c>
      <c r="G14" s="552">
        <f t="shared" si="4"/>
        <v>116</v>
      </c>
      <c r="H14" s="552">
        <f t="shared" si="4"/>
        <v>2</v>
      </c>
      <c r="I14" s="552">
        <f t="shared" si="4"/>
        <v>1</v>
      </c>
      <c r="J14" s="552">
        <f t="shared" si="4"/>
        <v>25</v>
      </c>
      <c r="K14" s="552">
        <f t="shared" si="4"/>
        <v>20</v>
      </c>
      <c r="L14" s="552">
        <f t="shared" si="4"/>
        <v>0</v>
      </c>
      <c r="M14" s="552">
        <f t="shared" si="4"/>
        <v>20</v>
      </c>
      <c r="N14" s="552">
        <f t="shared" si="4"/>
        <v>2</v>
      </c>
      <c r="O14" s="552">
        <f t="shared" si="4"/>
        <v>1</v>
      </c>
      <c r="P14" s="552">
        <f t="shared" si="4"/>
        <v>0</v>
      </c>
      <c r="Q14" s="552">
        <f t="shared" si="4"/>
        <v>2</v>
      </c>
      <c r="R14" s="552">
        <f t="shared" si="4"/>
        <v>12</v>
      </c>
      <c r="S14" s="548"/>
      <c r="T14" s="548"/>
      <c r="U14" s="548"/>
      <c r="V14" s="548"/>
      <c r="W14" s="13"/>
      <c r="X14" s="596" t="s">
        <v>108</v>
      </c>
      <c r="Y14" s="552">
        <f t="shared" ref="Y14:AN14" si="5">SUM(Y3:Y11)</f>
        <v>9</v>
      </c>
      <c r="Z14" s="552">
        <f t="shared" si="5"/>
        <v>8</v>
      </c>
      <c r="AA14" s="552">
        <f t="shared" si="5"/>
        <v>0</v>
      </c>
      <c r="AB14" s="552">
        <f t="shared" si="5"/>
        <v>1</v>
      </c>
      <c r="AC14" s="550">
        <f t="shared" si="5"/>
        <v>5</v>
      </c>
      <c r="AD14" s="550">
        <f t="shared" si="5"/>
        <v>5</v>
      </c>
      <c r="AE14" s="550">
        <f t="shared" si="5"/>
        <v>0</v>
      </c>
      <c r="AF14" s="550">
        <f t="shared" si="5"/>
        <v>0</v>
      </c>
      <c r="AG14" s="551">
        <f t="shared" si="5"/>
        <v>4</v>
      </c>
      <c r="AH14" s="551">
        <f t="shared" si="5"/>
        <v>3</v>
      </c>
      <c r="AI14" s="551">
        <f t="shared" si="5"/>
        <v>0</v>
      </c>
      <c r="AJ14" s="551">
        <f t="shared" si="5"/>
        <v>1</v>
      </c>
      <c r="AK14" s="552">
        <f t="shared" si="5"/>
        <v>0</v>
      </c>
      <c r="AL14" s="552">
        <f t="shared" si="5"/>
        <v>0</v>
      </c>
      <c r="AM14" s="552">
        <f t="shared" si="5"/>
        <v>0</v>
      </c>
      <c r="AN14" s="552">
        <f t="shared" si="5"/>
        <v>0</v>
      </c>
    </row>
    <row r="15" spans="1:46" x14ac:dyDescent="0.25">
      <c r="A15" s="762" t="s">
        <v>515</v>
      </c>
      <c r="B15" s="725"/>
      <c r="C15" s="725"/>
      <c r="D15" s="725"/>
      <c r="E15" s="725"/>
      <c r="F15" s="725"/>
      <c r="G15" s="725"/>
      <c r="H15" s="725"/>
      <c r="I15" s="725"/>
      <c r="J15" s="725"/>
      <c r="K15" s="725"/>
      <c r="L15" s="725"/>
      <c r="M15" s="725"/>
      <c r="N15" s="725"/>
      <c r="O15" s="725"/>
      <c r="P15" s="725"/>
      <c r="Q15" s="725"/>
      <c r="R15" s="725"/>
      <c r="S15" s="725"/>
      <c r="T15" s="725"/>
      <c r="U15" s="725"/>
      <c r="V15" s="725"/>
      <c r="W15" s="725"/>
      <c r="X15" s="725"/>
      <c r="Y15" s="725"/>
      <c r="Z15" s="725"/>
      <c r="AA15" s="725"/>
      <c r="AB15" s="725"/>
      <c r="AC15" s="725"/>
      <c r="AD15" s="725"/>
      <c r="AE15" s="725"/>
      <c r="AF15" s="725"/>
      <c r="AG15" s="725"/>
      <c r="AH15" s="725"/>
      <c r="AI15" s="725"/>
      <c r="AJ15" s="725"/>
      <c r="AK15" s="725"/>
      <c r="AL15" s="725"/>
      <c r="AM15" s="725"/>
      <c r="AN15" s="725"/>
    </row>
    <row r="16" spans="1:46" x14ac:dyDescent="0.25">
      <c r="A16" s="762" t="s">
        <v>367</v>
      </c>
      <c r="B16" s="725"/>
      <c r="C16" s="725"/>
      <c r="D16" s="725"/>
      <c r="E16" s="725"/>
      <c r="F16" s="725"/>
      <c r="G16" s="725"/>
      <c r="H16" s="725"/>
      <c r="I16" s="725"/>
      <c r="J16" s="725"/>
      <c r="K16" s="725"/>
      <c r="L16" s="725"/>
      <c r="M16" s="725"/>
      <c r="N16" s="725"/>
      <c r="O16" s="725"/>
      <c r="P16" s="725"/>
      <c r="Q16" s="725"/>
      <c r="R16" s="725"/>
      <c r="S16" s="725"/>
      <c r="T16" s="725"/>
      <c r="U16" s="725"/>
      <c r="V16" s="725"/>
      <c r="W16" s="725"/>
      <c r="X16" s="725"/>
      <c r="Y16" s="725"/>
      <c r="Z16" s="725"/>
      <c r="AA16" s="725"/>
      <c r="AB16" s="725"/>
      <c r="AC16" s="725"/>
      <c r="AD16" s="725"/>
      <c r="AE16" s="725"/>
      <c r="AF16" s="725"/>
      <c r="AG16" s="725"/>
      <c r="AH16" s="725"/>
      <c r="AI16" s="725"/>
      <c r="AJ16" s="725"/>
      <c r="AK16" s="725"/>
      <c r="AL16" s="725"/>
      <c r="AM16" s="725"/>
      <c r="AN16" s="725"/>
    </row>
    <row r="17" spans="1:20" x14ac:dyDescent="0.25">
      <c r="A17" t="s">
        <v>232</v>
      </c>
    </row>
    <row r="18" spans="1:20" x14ac:dyDescent="0.25">
      <c r="A18" t="s">
        <v>233</v>
      </c>
      <c r="T18" t="s">
        <v>58</v>
      </c>
    </row>
    <row r="19" spans="1:20" x14ac:dyDescent="0.25">
      <c r="A19" t="s">
        <v>440</v>
      </c>
    </row>
    <row r="20" spans="1:20" x14ac:dyDescent="0.25">
      <c r="A20" s="197"/>
      <c r="B20" t="s">
        <v>44</v>
      </c>
    </row>
    <row r="21" spans="1:20" x14ac:dyDescent="0.25">
      <c r="A21" s="154"/>
      <c r="B21" t="s">
        <v>42</v>
      </c>
    </row>
    <row r="22" spans="1:20" x14ac:dyDescent="0.25">
      <c r="A22" s="155"/>
      <c r="B22" t="s">
        <v>43</v>
      </c>
    </row>
    <row r="23" spans="1:20" x14ac:dyDescent="0.25">
      <c r="A23" s="634" t="s">
        <v>28</v>
      </c>
    </row>
  </sheetData>
  <mergeCells count="15">
    <mergeCell ref="A16:AN16"/>
    <mergeCell ref="A15:AN15"/>
    <mergeCell ref="Y1:AB1"/>
    <mergeCell ref="AC1:AF1"/>
    <mergeCell ref="AG1:AJ1"/>
    <mergeCell ref="AK1:AN1"/>
    <mergeCell ref="C12:E12"/>
    <mergeCell ref="P1:R1"/>
    <mergeCell ref="C13:E13"/>
    <mergeCell ref="C14:E14"/>
    <mergeCell ref="J1:M1"/>
    <mergeCell ref="N1:O1"/>
    <mergeCell ref="A1:C1"/>
    <mergeCell ref="E1:G1"/>
    <mergeCell ref="H1:I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T28"/>
  <sheetViews>
    <sheetView zoomScaleNormal="100" workbookViewId="0">
      <pane ySplit="2" topLeftCell="A3" activePane="bottomLeft" state="frozen"/>
      <selection pane="bottomLeft" activeCell="A20" sqref="A20:AN20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625" customWidth="1"/>
    <col min="19" max="20" width="6.375" customWidth="1"/>
    <col min="21" max="21" width="20.375" bestFit="1" customWidth="1"/>
    <col min="22" max="22" width="21.875" bestFit="1" customWidth="1"/>
    <col min="23" max="23" width="21.625" customWidth="1"/>
    <col min="24" max="24" width="30.5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801" t="s">
        <v>223</v>
      </c>
      <c r="B1" s="802"/>
      <c r="C1" s="802"/>
      <c r="D1" s="297"/>
      <c r="E1" s="803" t="s">
        <v>24</v>
      </c>
      <c r="F1" s="804"/>
      <c r="G1" s="805"/>
      <c r="H1" s="803" t="s">
        <v>23</v>
      </c>
      <c r="I1" s="805"/>
      <c r="J1" s="798" t="s">
        <v>6</v>
      </c>
      <c r="K1" s="800"/>
      <c r="L1" s="800"/>
      <c r="M1" s="799"/>
      <c r="N1" s="798" t="s">
        <v>7</v>
      </c>
      <c r="O1" s="799"/>
      <c r="P1" s="798" t="s">
        <v>25</v>
      </c>
      <c r="Q1" s="800"/>
      <c r="R1" s="799"/>
      <c r="S1" s="557" t="s">
        <v>8</v>
      </c>
      <c r="T1" s="557" t="s">
        <v>9</v>
      </c>
      <c r="U1" s="299" t="s">
        <v>10</v>
      </c>
      <c r="V1" s="298" t="s">
        <v>11</v>
      </c>
      <c r="W1" s="300" t="s">
        <v>26</v>
      </c>
      <c r="X1" s="301" t="s">
        <v>27</v>
      </c>
      <c r="Y1" s="797" t="s">
        <v>20</v>
      </c>
      <c r="Z1" s="747"/>
      <c r="AA1" s="747"/>
      <c r="AB1" s="748"/>
      <c r="AC1" s="797" t="s">
        <v>61</v>
      </c>
      <c r="AD1" s="747"/>
      <c r="AE1" s="747"/>
      <c r="AF1" s="748"/>
      <c r="AG1" s="797" t="s">
        <v>62</v>
      </c>
      <c r="AH1" s="747"/>
      <c r="AI1" s="747"/>
      <c r="AJ1" s="748"/>
      <c r="AK1" s="797" t="s">
        <v>63</v>
      </c>
      <c r="AL1" s="747"/>
      <c r="AM1" s="747"/>
      <c r="AN1" s="748"/>
      <c r="AP1" s="525" t="s">
        <v>186</v>
      </c>
      <c r="AQ1" s="520"/>
      <c r="AR1" s="520"/>
      <c r="AS1" s="525" t="s">
        <v>186</v>
      </c>
    </row>
    <row r="2" spans="1:46" ht="14.95" customHeight="1" thickBot="1" x14ac:dyDescent="0.3">
      <c r="A2" s="302" t="s">
        <v>19</v>
      </c>
      <c r="B2" s="303" t="s">
        <v>18</v>
      </c>
      <c r="C2" s="304" t="s">
        <v>17</v>
      </c>
      <c r="D2" s="304" t="s">
        <v>41</v>
      </c>
      <c r="E2" s="305" t="s">
        <v>16</v>
      </c>
      <c r="F2" s="305" t="s">
        <v>4</v>
      </c>
      <c r="G2" s="305" t="s">
        <v>5</v>
      </c>
      <c r="H2" s="306" t="s">
        <v>12</v>
      </c>
      <c r="I2" s="306" t="s">
        <v>3</v>
      </c>
      <c r="J2" s="306" t="s">
        <v>12</v>
      </c>
      <c r="K2" s="306" t="s">
        <v>13</v>
      </c>
      <c r="L2" s="306" t="s">
        <v>2</v>
      </c>
      <c r="M2" s="306" t="s">
        <v>14</v>
      </c>
      <c r="N2" s="306" t="s">
        <v>15</v>
      </c>
      <c r="O2" s="306" t="s">
        <v>16</v>
      </c>
      <c r="P2" s="306" t="s">
        <v>21</v>
      </c>
      <c r="Q2" s="306" t="s">
        <v>22</v>
      </c>
      <c r="R2" s="306" t="s">
        <v>12</v>
      </c>
      <c r="S2" s="307"/>
      <c r="T2" s="308"/>
      <c r="U2" s="309"/>
      <c r="V2" s="307"/>
      <c r="W2" s="310"/>
      <c r="X2" s="311"/>
      <c r="Y2" s="444" t="s">
        <v>0</v>
      </c>
      <c r="Z2" s="444" t="s">
        <v>1</v>
      </c>
      <c r="AA2" s="444" t="s">
        <v>2</v>
      </c>
      <c r="AB2" s="444" t="s">
        <v>3</v>
      </c>
      <c r="AC2" s="444" t="s">
        <v>0</v>
      </c>
      <c r="AD2" s="444" t="s">
        <v>1</v>
      </c>
      <c r="AE2" s="444" t="s">
        <v>2</v>
      </c>
      <c r="AF2" s="444" t="s">
        <v>3</v>
      </c>
      <c r="AG2" s="444" t="s">
        <v>0</v>
      </c>
      <c r="AH2" s="444" t="s">
        <v>1</v>
      </c>
      <c r="AI2" s="444" t="s">
        <v>2</v>
      </c>
      <c r="AJ2" s="444" t="s">
        <v>3</v>
      </c>
      <c r="AK2" s="444" t="s">
        <v>0</v>
      </c>
      <c r="AL2" s="444" t="s">
        <v>1</v>
      </c>
      <c r="AM2" s="444" t="s">
        <v>2</v>
      </c>
      <c r="AN2" s="444" t="s">
        <v>3</v>
      </c>
      <c r="AP2" s="481" t="s">
        <v>108</v>
      </c>
      <c r="AQ2" s="249"/>
      <c r="AS2" s="482" t="s">
        <v>167</v>
      </c>
      <c r="AT2" s="249"/>
    </row>
    <row r="3" spans="1:46" ht="14.95" customHeight="1" thickBot="1" x14ac:dyDescent="0.35">
      <c r="A3" s="191">
        <v>43863</v>
      </c>
      <c r="B3" s="192" t="s">
        <v>46</v>
      </c>
      <c r="C3" s="192" t="s">
        <v>30</v>
      </c>
      <c r="D3" s="192" t="s">
        <v>115</v>
      </c>
      <c r="E3" s="193" t="s">
        <v>1</v>
      </c>
      <c r="F3" s="193">
        <v>24</v>
      </c>
      <c r="G3" s="193">
        <v>17</v>
      </c>
      <c r="H3" s="193">
        <v>0</v>
      </c>
      <c r="I3" s="193">
        <v>0</v>
      </c>
      <c r="J3" s="193">
        <v>3</v>
      </c>
      <c r="K3" s="193">
        <v>3</v>
      </c>
      <c r="L3" s="193">
        <v>0</v>
      </c>
      <c r="M3" s="193">
        <v>1</v>
      </c>
      <c r="N3" s="193">
        <v>0</v>
      </c>
      <c r="O3" s="193">
        <v>0</v>
      </c>
      <c r="P3" s="193">
        <v>0</v>
      </c>
      <c r="Q3" s="193">
        <v>1</v>
      </c>
      <c r="R3" s="193">
        <v>2</v>
      </c>
      <c r="S3" s="205">
        <v>79310</v>
      </c>
      <c r="T3" s="312" t="s">
        <v>214</v>
      </c>
      <c r="U3" s="206" t="s">
        <v>140</v>
      </c>
      <c r="V3" s="205" t="s">
        <v>242</v>
      </c>
      <c r="W3" s="194" t="s">
        <v>121</v>
      </c>
      <c r="X3" s="207" t="s">
        <v>130</v>
      </c>
      <c r="Y3" s="208">
        <v>1</v>
      </c>
      <c r="Z3" s="208">
        <v>1</v>
      </c>
      <c r="AA3" s="208">
        <v>0</v>
      </c>
      <c r="AB3" s="209">
        <v>0</v>
      </c>
      <c r="AC3" s="208">
        <v>1</v>
      </c>
      <c r="AD3" s="208">
        <v>1</v>
      </c>
      <c r="AE3" s="208">
        <v>0</v>
      </c>
      <c r="AF3" s="209">
        <v>0</v>
      </c>
      <c r="AG3" s="208">
        <v>0</v>
      </c>
      <c r="AH3" s="208">
        <v>0</v>
      </c>
      <c r="AI3" s="208">
        <v>0</v>
      </c>
      <c r="AJ3" s="209">
        <v>0</v>
      </c>
      <c r="AK3" s="208">
        <v>0</v>
      </c>
      <c r="AL3" s="208">
        <v>0</v>
      </c>
      <c r="AM3" s="208">
        <v>0</v>
      </c>
      <c r="AN3" s="209">
        <v>0</v>
      </c>
      <c r="AP3" s="501" t="s">
        <v>170</v>
      </c>
      <c r="AQ3" s="502">
        <f>Francealltestshistplayed</f>
        <v>775</v>
      </c>
      <c r="AS3" s="501" t="s">
        <v>170</v>
      </c>
      <c r="AT3" s="502">
        <f>FranceRWChistplayed</f>
        <v>52</v>
      </c>
    </row>
    <row r="4" spans="1:46" ht="14.95" customHeight="1" thickBot="1" x14ac:dyDescent="0.35">
      <c r="A4" s="191">
        <v>43870</v>
      </c>
      <c r="B4" s="192" t="s">
        <v>46</v>
      </c>
      <c r="C4" s="192" t="s">
        <v>33</v>
      </c>
      <c r="D4" s="192" t="s">
        <v>115</v>
      </c>
      <c r="E4" s="193" t="s">
        <v>1</v>
      </c>
      <c r="F4" s="193">
        <v>35</v>
      </c>
      <c r="G4" s="193">
        <v>22</v>
      </c>
      <c r="H4" s="193">
        <v>1</v>
      </c>
      <c r="I4" s="193">
        <v>0</v>
      </c>
      <c r="J4" s="193">
        <v>5</v>
      </c>
      <c r="K4" s="193">
        <v>2</v>
      </c>
      <c r="L4" s="193">
        <v>0</v>
      </c>
      <c r="M4" s="193">
        <v>2</v>
      </c>
      <c r="N4" s="193">
        <v>0</v>
      </c>
      <c r="O4" s="193">
        <v>0</v>
      </c>
      <c r="P4" s="193">
        <v>0</v>
      </c>
      <c r="Q4" s="193">
        <v>0</v>
      </c>
      <c r="R4" s="193">
        <v>3</v>
      </c>
      <c r="S4" s="205">
        <v>55000</v>
      </c>
      <c r="T4" s="312" t="s">
        <v>260</v>
      </c>
      <c r="U4" s="206" t="s">
        <v>121</v>
      </c>
      <c r="V4" s="205" t="s">
        <v>242</v>
      </c>
      <c r="W4" s="194" t="s">
        <v>140</v>
      </c>
      <c r="X4" s="207" t="s">
        <v>130</v>
      </c>
      <c r="Y4" s="208">
        <v>1</v>
      </c>
      <c r="Z4" s="208">
        <v>1</v>
      </c>
      <c r="AA4" s="208">
        <v>0</v>
      </c>
      <c r="AB4" s="209">
        <v>0</v>
      </c>
      <c r="AC4" s="208">
        <v>1</v>
      </c>
      <c r="AD4" s="208">
        <v>1</v>
      </c>
      <c r="AE4" s="208">
        <v>0</v>
      </c>
      <c r="AF4" s="209">
        <v>0</v>
      </c>
      <c r="AG4" s="208">
        <v>0</v>
      </c>
      <c r="AH4" s="208">
        <v>0</v>
      </c>
      <c r="AI4" s="208">
        <v>0</v>
      </c>
      <c r="AJ4" s="209">
        <v>0</v>
      </c>
      <c r="AK4" s="208">
        <v>0</v>
      </c>
      <c r="AL4" s="208">
        <v>0</v>
      </c>
      <c r="AM4" s="208">
        <v>0</v>
      </c>
      <c r="AN4" s="209">
        <v>0</v>
      </c>
      <c r="AP4" s="503" t="s">
        <v>171</v>
      </c>
      <c r="AQ4" s="504">
        <f>Francealltestshistwon</f>
        <v>419</v>
      </c>
      <c r="AS4" s="503" t="s">
        <v>171</v>
      </c>
      <c r="AT4" s="504">
        <f>FranceRWChistwon</f>
        <v>36</v>
      </c>
    </row>
    <row r="5" spans="1:46" ht="14.95" customHeight="1" thickBot="1" x14ac:dyDescent="0.35">
      <c r="A5" s="183">
        <v>43883</v>
      </c>
      <c r="B5" s="174" t="s">
        <v>46</v>
      </c>
      <c r="C5" s="174" t="s">
        <v>32</v>
      </c>
      <c r="D5" s="174" t="s">
        <v>114</v>
      </c>
      <c r="E5" s="175" t="s">
        <v>1</v>
      </c>
      <c r="F5" s="175">
        <v>27</v>
      </c>
      <c r="G5" s="175">
        <v>23</v>
      </c>
      <c r="H5" s="175">
        <v>0</v>
      </c>
      <c r="I5" s="175">
        <v>0</v>
      </c>
      <c r="J5" s="175">
        <v>3</v>
      </c>
      <c r="K5" s="175">
        <v>3</v>
      </c>
      <c r="L5" s="175">
        <v>0</v>
      </c>
      <c r="M5" s="175">
        <v>2</v>
      </c>
      <c r="N5" s="175">
        <v>2</v>
      </c>
      <c r="O5" s="175">
        <v>0</v>
      </c>
      <c r="P5" s="175">
        <v>0</v>
      </c>
      <c r="Q5" s="175">
        <v>1</v>
      </c>
      <c r="R5" s="175">
        <v>2</v>
      </c>
      <c r="S5" s="176">
        <v>73931</v>
      </c>
      <c r="T5" s="346" t="s">
        <v>219</v>
      </c>
      <c r="U5" s="177" t="s">
        <v>152</v>
      </c>
      <c r="V5" s="176" t="s">
        <v>142</v>
      </c>
      <c r="W5" s="178" t="s">
        <v>124</v>
      </c>
      <c r="X5" s="179" t="s">
        <v>267</v>
      </c>
      <c r="Y5" s="180">
        <v>1</v>
      </c>
      <c r="Z5" s="180">
        <v>1</v>
      </c>
      <c r="AA5" s="180">
        <v>0</v>
      </c>
      <c r="AB5" s="181">
        <v>0</v>
      </c>
      <c r="AC5" s="180">
        <v>0</v>
      </c>
      <c r="AD5" s="180">
        <v>0</v>
      </c>
      <c r="AE5" s="180">
        <v>0</v>
      </c>
      <c r="AF5" s="181">
        <v>0</v>
      </c>
      <c r="AG5" s="180">
        <v>1</v>
      </c>
      <c r="AH5" s="180">
        <v>1</v>
      </c>
      <c r="AI5" s="180">
        <v>0</v>
      </c>
      <c r="AJ5" s="181">
        <v>0</v>
      </c>
      <c r="AK5" s="180">
        <v>0</v>
      </c>
      <c r="AL5" s="180">
        <v>0</v>
      </c>
      <c r="AM5" s="180">
        <v>0</v>
      </c>
      <c r="AN5" s="181">
        <v>0</v>
      </c>
      <c r="AP5" s="503" t="s">
        <v>177</v>
      </c>
      <c r="AQ5" s="504">
        <f>Francealltestshistdrawn</f>
        <v>33</v>
      </c>
      <c r="AS5" s="503" t="s">
        <v>177</v>
      </c>
      <c r="AT5" s="504">
        <f>FranceRWChistdrawn</f>
        <v>1</v>
      </c>
    </row>
    <row r="6" spans="1:46" ht="14.95" customHeight="1" thickBot="1" x14ac:dyDescent="0.3">
      <c r="A6" s="183">
        <v>43898</v>
      </c>
      <c r="B6" s="174" t="s">
        <v>46</v>
      </c>
      <c r="C6" s="174" t="s">
        <v>35</v>
      </c>
      <c r="D6" s="174" t="s">
        <v>119</v>
      </c>
      <c r="E6" s="175" t="s">
        <v>3</v>
      </c>
      <c r="F6" s="175">
        <v>17</v>
      </c>
      <c r="G6" s="175">
        <v>28</v>
      </c>
      <c r="H6" s="175">
        <v>0</v>
      </c>
      <c r="I6" s="175">
        <v>0</v>
      </c>
      <c r="J6" s="175">
        <v>2</v>
      </c>
      <c r="K6" s="175">
        <v>2</v>
      </c>
      <c r="L6" s="175">
        <v>0</v>
      </c>
      <c r="M6" s="175">
        <v>1</v>
      </c>
      <c r="N6" s="175">
        <v>1</v>
      </c>
      <c r="O6" s="175">
        <v>1</v>
      </c>
      <c r="P6" s="175">
        <v>0</v>
      </c>
      <c r="Q6" s="175">
        <v>0</v>
      </c>
      <c r="R6" s="175">
        <v>3</v>
      </c>
      <c r="S6" s="176">
        <v>67144</v>
      </c>
      <c r="T6" s="219" t="s">
        <v>247</v>
      </c>
      <c r="U6" s="177" t="s">
        <v>149</v>
      </c>
      <c r="V6" s="176" t="s">
        <v>242</v>
      </c>
      <c r="W6" s="178" t="s">
        <v>124</v>
      </c>
      <c r="X6" s="179" t="s">
        <v>154</v>
      </c>
      <c r="Y6" s="180">
        <v>1</v>
      </c>
      <c r="Z6" s="180">
        <v>0</v>
      </c>
      <c r="AA6" s="180">
        <v>0</v>
      </c>
      <c r="AB6" s="181">
        <v>1</v>
      </c>
      <c r="AC6" s="180">
        <v>0</v>
      </c>
      <c r="AD6" s="180">
        <v>0</v>
      </c>
      <c r="AE6" s="180">
        <v>0</v>
      </c>
      <c r="AF6" s="181">
        <v>0</v>
      </c>
      <c r="AG6" s="180">
        <v>1</v>
      </c>
      <c r="AH6" s="180">
        <v>0</v>
      </c>
      <c r="AI6" s="180">
        <v>0</v>
      </c>
      <c r="AJ6" s="181">
        <v>1</v>
      </c>
      <c r="AK6" s="180">
        <v>0</v>
      </c>
      <c r="AL6" s="180">
        <v>0</v>
      </c>
      <c r="AM6" s="180">
        <v>0</v>
      </c>
      <c r="AN6" s="181">
        <v>0</v>
      </c>
      <c r="AP6" s="503" t="s">
        <v>172</v>
      </c>
      <c r="AQ6" s="504">
        <f>Francealltestshistlost</f>
        <v>323</v>
      </c>
      <c r="AS6" s="503" t="s">
        <v>172</v>
      </c>
      <c r="AT6" s="504">
        <f>FranceRWChistlost</f>
        <v>15</v>
      </c>
    </row>
    <row r="7" spans="1:46" ht="14.95" customHeight="1" thickBot="1" x14ac:dyDescent="0.35">
      <c r="A7" s="191">
        <v>44127</v>
      </c>
      <c r="B7" s="192" t="s">
        <v>45</v>
      </c>
      <c r="C7" s="192" t="s">
        <v>32</v>
      </c>
      <c r="D7" s="192" t="s">
        <v>115</v>
      </c>
      <c r="E7" s="193" t="s">
        <v>1</v>
      </c>
      <c r="F7" s="193">
        <v>38</v>
      </c>
      <c r="G7" s="193">
        <v>21</v>
      </c>
      <c r="H7" s="193" t="s">
        <v>107</v>
      </c>
      <c r="I7" s="193" t="s">
        <v>107</v>
      </c>
      <c r="J7" s="193">
        <v>5</v>
      </c>
      <c r="K7" s="193">
        <v>5</v>
      </c>
      <c r="L7" s="193">
        <v>0</v>
      </c>
      <c r="M7" s="193">
        <v>1</v>
      </c>
      <c r="N7" s="193">
        <v>0</v>
      </c>
      <c r="O7" s="193">
        <v>0</v>
      </c>
      <c r="P7" s="193" t="s">
        <v>107</v>
      </c>
      <c r="Q7" s="193" t="s">
        <v>107</v>
      </c>
      <c r="R7" s="193">
        <v>2</v>
      </c>
      <c r="S7" s="205">
        <v>0</v>
      </c>
      <c r="T7" s="312" t="s">
        <v>399</v>
      </c>
      <c r="U7" s="206" t="s">
        <v>400</v>
      </c>
      <c r="V7" s="205" t="s">
        <v>242</v>
      </c>
      <c r="W7" s="194" t="s">
        <v>154</v>
      </c>
      <c r="X7" s="207" t="s">
        <v>401</v>
      </c>
      <c r="Y7" s="208">
        <v>1</v>
      </c>
      <c r="Z7" s="208">
        <v>1</v>
      </c>
      <c r="AA7" s="208">
        <v>0</v>
      </c>
      <c r="AB7" s="209">
        <v>0</v>
      </c>
      <c r="AC7" s="208">
        <v>1</v>
      </c>
      <c r="AD7" s="208">
        <v>1</v>
      </c>
      <c r="AE7" s="208">
        <v>0</v>
      </c>
      <c r="AF7" s="209">
        <v>0</v>
      </c>
      <c r="AG7" s="208">
        <v>0</v>
      </c>
      <c r="AH7" s="208">
        <v>0</v>
      </c>
      <c r="AI7" s="208">
        <v>0</v>
      </c>
      <c r="AJ7" s="209">
        <v>0</v>
      </c>
      <c r="AK7" s="208">
        <v>0</v>
      </c>
      <c r="AL7" s="208">
        <v>0</v>
      </c>
      <c r="AM7" s="208">
        <v>0</v>
      </c>
      <c r="AN7" s="209">
        <v>0</v>
      </c>
      <c r="AP7" s="503" t="s">
        <v>178</v>
      </c>
      <c r="AQ7" s="504">
        <f>Francealltestshistptsscored</f>
        <v>14296</v>
      </c>
      <c r="AS7" s="503" t="s">
        <v>178</v>
      </c>
      <c r="AT7" s="504">
        <f>FranceRWChistptsscored</f>
        <v>1585</v>
      </c>
    </row>
    <row r="8" spans="1:46" ht="14.95" customHeight="1" thickBot="1" x14ac:dyDescent="0.35">
      <c r="A8" s="191">
        <v>44135</v>
      </c>
      <c r="B8" s="192" t="s">
        <v>46</v>
      </c>
      <c r="C8" s="192" t="s">
        <v>39</v>
      </c>
      <c r="D8" s="192" t="s">
        <v>115</v>
      </c>
      <c r="E8" s="193" t="s">
        <v>1</v>
      </c>
      <c r="F8" s="193">
        <v>35</v>
      </c>
      <c r="G8" s="193">
        <v>27</v>
      </c>
      <c r="H8" s="193">
        <v>1</v>
      </c>
      <c r="I8" s="193">
        <v>0</v>
      </c>
      <c r="J8" s="193">
        <v>4</v>
      </c>
      <c r="K8" s="193">
        <v>2</v>
      </c>
      <c r="L8" s="193">
        <v>0</v>
      </c>
      <c r="M8" s="193">
        <v>3</v>
      </c>
      <c r="N8" s="193">
        <v>1</v>
      </c>
      <c r="O8" s="193">
        <v>0</v>
      </c>
      <c r="P8" s="193">
        <v>0</v>
      </c>
      <c r="Q8" s="193">
        <v>0</v>
      </c>
      <c r="R8" s="193">
        <v>3</v>
      </c>
      <c r="S8" s="205">
        <v>0</v>
      </c>
      <c r="T8" s="312" t="s">
        <v>426</v>
      </c>
      <c r="U8" s="206" t="s">
        <v>124</v>
      </c>
      <c r="V8" s="205" t="s">
        <v>125</v>
      </c>
      <c r="W8" s="205" t="s">
        <v>152</v>
      </c>
      <c r="X8" s="195" t="s">
        <v>400</v>
      </c>
      <c r="Y8" s="208">
        <v>1</v>
      </c>
      <c r="Z8" s="208">
        <v>1</v>
      </c>
      <c r="AA8" s="208">
        <v>0</v>
      </c>
      <c r="AB8" s="209">
        <v>0</v>
      </c>
      <c r="AC8" s="208">
        <v>1</v>
      </c>
      <c r="AD8" s="208">
        <v>1</v>
      </c>
      <c r="AE8" s="208">
        <v>0</v>
      </c>
      <c r="AF8" s="209">
        <v>0</v>
      </c>
      <c r="AG8" s="208">
        <v>0</v>
      </c>
      <c r="AH8" s="208">
        <v>0</v>
      </c>
      <c r="AI8" s="208">
        <v>0</v>
      </c>
      <c r="AJ8" s="209">
        <v>0</v>
      </c>
      <c r="AK8" s="208">
        <v>0</v>
      </c>
      <c r="AL8" s="208">
        <v>0</v>
      </c>
      <c r="AM8" s="208">
        <v>0</v>
      </c>
      <c r="AN8" s="209">
        <v>0</v>
      </c>
      <c r="AP8" s="503" t="s">
        <v>179</v>
      </c>
      <c r="AQ8" s="504">
        <f>Francealltestshistptscon</f>
        <v>11932</v>
      </c>
      <c r="AS8" s="503" t="s">
        <v>179</v>
      </c>
      <c r="AT8" s="504">
        <f>FranceRWChistptsagainst</f>
        <v>966</v>
      </c>
    </row>
    <row r="9" spans="1:46" ht="14.95" customHeight="1" thickBot="1" x14ac:dyDescent="0.35">
      <c r="A9" s="191">
        <v>44150</v>
      </c>
      <c r="B9" s="192" t="s">
        <v>362</v>
      </c>
      <c r="C9" s="192" t="s">
        <v>31</v>
      </c>
      <c r="D9" s="192" t="s">
        <v>418</v>
      </c>
      <c r="E9" s="193" t="s">
        <v>13</v>
      </c>
      <c r="F9" s="193">
        <v>28</v>
      </c>
      <c r="G9" s="193">
        <v>0</v>
      </c>
      <c r="H9" s="193">
        <v>1</v>
      </c>
      <c r="I9" s="193">
        <v>0</v>
      </c>
      <c r="J9" s="193">
        <v>4</v>
      </c>
      <c r="K9" s="193">
        <v>0</v>
      </c>
      <c r="L9" s="193">
        <v>0</v>
      </c>
      <c r="M9" s="193">
        <v>0</v>
      </c>
      <c r="N9" s="193">
        <v>0</v>
      </c>
      <c r="O9" s="193">
        <v>0</v>
      </c>
      <c r="P9" s="193">
        <v>0</v>
      </c>
      <c r="Q9" s="193">
        <v>0</v>
      </c>
      <c r="R9" s="193">
        <v>0</v>
      </c>
      <c r="S9" s="205" t="s">
        <v>504</v>
      </c>
      <c r="T9" s="408"/>
      <c r="U9" s="206"/>
      <c r="V9" s="205"/>
      <c r="W9" s="206"/>
      <c r="X9" s="205"/>
      <c r="Y9" s="208">
        <v>1</v>
      </c>
      <c r="Z9" s="208">
        <v>1</v>
      </c>
      <c r="AA9" s="208">
        <v>0</v>
      </c>
      <c r="AB9" s="209">
        <v>0</v>
      </c>
      <c r="AC9" s="208"/>
      <c r="AD9" s="208"/>
      <c r="AE9" s="208"/>
      <c r="AF9" s="209"/>
      <c r="AG9" s="208"/>
      <c r="AH9" s="208"/>
      <c r="AI9" s="208"/>
      <c r="AJ9" s="209"/>
      <c r="AK9" s="208"/>
      <c r="AL9" s="208"/>
      <c r="AM9" s="208"/>
      <c r="AN9" s="209"/>
      <c r="AP9" s="503" t="s">
        <v>169</v>
      </c>
      <c r="AQ9" s="504">
        <f>Francealltestshisttriesscored</f>
        <v>1800</v>
      </c>
      <c r="AS9" s="503" t="s">
        <v>169</v>
      </c>
      <c r="AT9" s="504">
        <f>FranceRWChisttriesscored</f>
        <v>183</v>
      </c>
    </row>
    <row r="10" spans="1:46" ht="14.95" customHeight="1" thickBot="1" x14ac:dyDescent="0.35">
      <c r="A10" s="183">
        <v>44157</v>
      </c>
      <c r="B10" s="174" t="s">
        <v>362</v>
      </c>
      <c r="C10" s="174" t="s">
        <v>35</v>
      </c>
      <c r="D10" s="174" t="s">
        <v>119</v>
      </c>
      <c r="E10" s="175" t="s">
        <v>1</v>
      </c>
      <c r="F10" s="175">
        <v>22</v>
      </c>
      <c r="G10" s="175">
        <v>15</v>
      </c>
      <c r="H10" s="175">
        <v>0</v>
      </c>
      <c r="I10" s="175">
        <v>0</v>
      </c>
      <c r="J10" s="175">
        <v>1</v>
      </c>
      <c r="K10" s="175">
        <v>1</v>
      </c>
      <c r="L10" s="175">
        <v>1</v>
      </c>
      <c r="M10" s="175">
        <v>4</v>
      </c>
      <c r="N10" s="175">
        <v>0</v>
      </c>
      <c r="O10" s="175">
        <v>0</v>
      </c>
      <c r="P10" s="175">
        <v>0</v>
      </c>
      <c r="Q10" s="175">
        <v>1</v>
      </c>
      <c r="R10" s="175">
        <v>0</v>
      </c>
      <c r="S10" s="176">
        <v>0</v>
      </c>
      <c r="T10" s="346" t="s">
        <v>484</v>
      </c>
      <c r="U10" s="177" t="s">
        <v>124</v>
      </c>
      <c r="V10" s="176" t="s">
        <v>159</v>
      </c>
      <c r="W10" s="178" t="s">
        <v>152</v>
      </c>
      <c r="X10" s="179" t="s">
        <v>485</v>
      </c>
      <c r="Y10" s="180">
        <v>1</v>
      </c>
      <c r="Z10" s="180">
        <v>1</v>
      </c>
      <c r="AA10" s="180">
        <v>0</v>
      </c>
      <c r="AB10" s="181">
        <v>0</v>
      </c>
      <c r="AC10" s="180">
        <v>0</v>
      </c>
      <c r="AD10" s="180">
        <v>0</v>
      </c>
      <c r="AE10" s="180">
        <v>0</v>
      </c>
      <c r="AF10" s="181">
        <v>0</v>
      </c>
      <c r="AG10" s="180">
        <v>1</v>
      </c>
      <c r="AH10" s="180">
        <v>1</v>
      </c>
      <c r="AI10" s="180">
        <v>0</v>
      </c>
      <c r="AJ10" s="181">
        <v>0</v>
      </c>
      <c r="AK10" s="180">
        <v>0</v>
      </c>
      <c r="AL10" s="180">
        <v>0</v>
      </c>
      <c r="AM10" s="180">
        <v>0</v>
      </c>
      <c r="AN10" s="181">
        <v>0</v>
      </c>
    </row>
    <row r="11" spans="1:46" ht="14.95" customHeight="1" thickBot="1" x14ac:dyDescent="0.35">
      <c r="A11" s="191">
        <v>44163</v>
      </c>
      <c r="B11" s="192" t="s">
        <v>362</v>
      </c>
      <c r="C11" s="192" t="s">
        <v>33</v>
      </c>
      <c r="D11" s="192" t="s">
        <v>115</v>
      </c>
      <c r="E11" s="193" t="s">
        <v>1</v>
      </c>
      <c r="F11" s="193">
        <v>36</v>
      </c>
      <c r="G11" s="193">
        <v>5</v>
      </c>
      <c r="H11" s="193">
        <v>1</v>
      </c>
      <c r="I11" s="193">
        <v>0</v>
      </c>
      <c r="J11" s="193">
        <v>5</v>
      </c>
      <c r="K11" s="193">
        <v>4</v>
      </c>
      <c r="L11" s="193">
        <v>0</v>
      </c>
      <c r="M11" s="193">
        <v>1</v>
      </c>
      <c r="N11" s="193">
        <v>0</v>
      </c>
      <c r="O11" s="193">
        <v>0</v>
      </c>
      <c r="P11" s="193">
        <v>0</v>
      </c>
      <c r="Q11" s="193">
        <v>0</v>
      </c>
      <c r="R11" s="193">
        <v>1</v>
      </c>
      <c r="S11" s="205">
        <v>0</v>
      </c>
      <c r="T11" s="312" t="s">
        <v>422</v>
      </c>
      <c r="U11" s="206" t="s">
        <v>140</v>
      </c>
      <c r="V11" s="205" t="s">
        <v>491</v>
      </c>
      <c r="W11" s="194" t="s">
        <v>152</v>
      </c>
      <c r="X11" s="207" t="s">
        <v>413</v>
      </c>
      <c r="Y11" s="208">
        <v>1</v>
      </c>
      <c r="Z11" s="208">
        <v>1</v>
      </c>
      <c r="AA11" s="208">
        <v>0</v>
      </c>
      <c r="AB11" s="209">
        <v>0</v>
      </c>
      <c r="AC11" s="208">
        <v>1</v>
      </c>
      <c r="AD11" s="208">
        <v>1</v>
      </c>
      <c r="AE11" s="208">
        <v>0</v>
      </c>
      <c r="AF11" s="209">
        <v>0</v>
      </c>
      <c r="AG11" s="208">
        <v>0</v>
      </c>
      <c r="AH11" s="208">
        <v>0</v>
      </c>
      <c r="AI11" s="208">
        <v>0</v>
      </c>
      <c r="AJ11" s="209">
        <v>0</v>
      </c>
      <c r="AK11" s="208">
        <v>0</v>
      </c>
      <c r="AL11" s="208">
        <v>0</v>
      </c>
      <c r="AM11" s="208">
        <v>0</v>
      </c>
      <c r="AN11" s="209">
        <v>0</v>
      </c>
    </row>
    <row r="12" spans="1:46" ht="14.95" customHeight="1" thickBot="1" x14ac:dyDescent="0.35">
      <c r="A12" s="183">
        <v>44171</v>
      </c>
      <c r="B12" s="188" t="s">
        <v>362</v>
      </c>
      <c r="C12" s="174" t="s">
        <v>519</v>
      </c>
      <c r="D12" s="174" t="s">
        <v>118</v>
      </c>
      <c r="E12" s="175" t="s">
        <v>3</v>
      </c>
      <c r="F12" s="175">
        <v>19</v>
      </c>
      <c r="G12" s="189">
        <v>22</v>
      </c>
      <c r="H12" s="189" t="s">
        <v>107</v>
      </c>
      <c r="I12" s="175" t="s">
        <v>107</v>
      </c>
      <c r="J12" s="175">
        <v>1</v>
      </c>
      <c r="K12" s="175">
        <v>1</v>
      </c>
      <c r="L12" s="175">
        <v>0</v>
      </c>
      <c r="M12" s="175">
        <v>4</v>
      </c>
      <c r="N12" s="175">
        <v>0</v>
      </c>
      <c r="O12" s="175">
        <v>0</v>
      </c>
      <c r="P12" s="175" t="s">
        <v>107</v>
      </c>
      <c r="Q12" s="175" t="s">
        <v>107</v>
      </c>
      <c r="R12" s="175">
        <v>1</v>
      </c>
      <c r="S12" s="178">
        <v>2000</v>
      </c>
      <c r="T12" s="702" t="s">
        <v>500</v>
      </c>
      <c r="U12" s="178" t="s">
        <v>516</v>
      </c>
      <c r="V12" s="178" t="s">
        <v>159</v>
      </c>
      <c r="W12" s="178" t="s">
        <v>154</v>
      </c>
      <c r="X12" s="179" t="s">
        <v>517</v>
      </c>
      <c r="Y12" s="180">
        <v>1</v>
      </c>
      <c r="Z12" s="180">
        <v>0</v>
      </c>
      <c r="AA12" s="180">
        <v>0</v>
      </c>
      <c r="AB12" s="181">
        <v>1</v>
      </c>
      <c r="AC12" s="180">
        <v>0</v>
      </c>
      <c r="AD12" s="180">
        <v>0</v>
      </c>
      <c r="AE12" s="180">
        <v>0</v>
      </c>
      <c r="AF12" s="181">
        <v>0</v>
      </c>
      <c r="AG12" s="180">
        <v>1</v>
      </c>
      <c r="AH12" s="180">
        <v>0</v>
      </c>
      <c r="AI12" s="180">
        <v>0</v>
      </c>
      <c r="AJ12" s="181">
        <v>1</v>
      </c>
      <c r="AK12" s="180">
        <v>0</v>
      </c>
      <c r="AL12" s="180">
        <v>0</v>
      </c>
      <c r="AM12" s="180">
        <v>0</v>
      </c>
      <c r="AN12" s="181">
        <v>0</v>
      </c>
    </row>
    <row r="13" spans="1:46" ht="14.95" thickBot="1" x14ac:dyDescent="0.3">
      <c r="A13" s="387"/>
      <c r="B13" s="388"/>
      <c r="C13" s="769" t="s">
        <v>110</v>
      </c>
      <c r="D13" s="770"/>
      <c r="E13" s="771"/>
      <c r="F13" s="386">
        <f>SUM(F3+F4+F5+F6+F8)</f>
        <v>138</v>
      </c>
      <c r="G13" s="386">
        <f t="shared" ref="G13:R13" si="0">SUM(G3+G4+G5+G6+G8)</f>
        <v>117</v>
      </c>
      <c r="H13" s="386">
        <f t="shared" si="0"/>
        <v>2</v>
      </c>
      <c r="I13" s="386">
        <f t="shared" si="0"/>
        <v>0</v>
      </c>
      <c r="J13" s="386">
        <f t="shared" si="0"/>
        <v>17</v>
      </c>
      <c r="K13" s="386">
        <f t="shared" si="0"/>
        <v>12</v>
      </c>
      <c r="L13" s="386">
        <f t="shared" si="0"/>
        <v>0</v>
      </c>
      <c r="M13" s="386">
        <f t="shared" si="0"/>
        <v>9</v>
      </c>
      <c r="N13" s="386">
        <f t="shared" si="0"/>
        <v>4</v>
      </c>
      <c r="O13" s="386">
        <f t="shared" si="0"/>
        <v>1</v>
      </c>
      <c r="P13" s="386">
        <f t="shared" si="0"/>
        <v>0</v>
      </c>
      <c r="Q13" s="386">
        <f t="shared" si="0"/>
        <v>2</v>
      </c>
      <c r="R13" s="386">
        <f t="shared" si="0"/>
        <v>13</v>
      </c>
      <c r="W13" s="383"/>
      <c r="X13" s="612" t="s">
        <v>110</v>
      </c>
      <c r="Y13" s="386">
        <f t="shared" ref="Y13:AN13" si="1">SUM(Y3+Y4+Y5+Y6+Y8)</f>
        <v>5</v>
      </c>
      <c r="Z13" s="386">
        <f t="shared" si="1"/>
        <v>4</v>
      </c>
      <c r="AA13" s="386">
        <f t="shared" si="1"/>
        <v>0</v>
      </c>
      <c r="AB13" s="386">
        <f t="shared" si="1"/>
        <v>1</v>
      </c>
      <c r="AC13" s="384">
        <f t="shared" si="1"/>
        <v>3</v>
      </c>
      <c r="AD13" s="384">
        <f t="shared" si="1"/>
        <v>3</v>
      </c>
      <c r="AE13" s="384">
        <f t="shared" si="1"/>
        <v>0</v>
      </c>
      <c r="AF13" s="384">
        <f t="shared" si="1"/>
        <v>0</v>
      </c>
      <c r="AG13" s="385">
        <f t="shared" si="1"/>
        <v>2</v>
      </c>
      <c r="AH13" s="385">
        <f t="shared" si="1"/>
        <v>1</v>
      </c>
      <c r="AI13" s="385">
        <f t="shared" si="1"/>
        <v>0</v>
      </c>
      <c r="AJ13" s="385">
        <f t="shared" si="1"/>
        <v>1</v>
      </c>
      <c r="AK13" s="386">
        <f t="shared" si="1"/>
        <v>0</v>
      </c>
      <c r="AL13" s="386">
        <f t="shared" si="1"/>
        <v>0</v>
      </c>
      <c r="AM13" s="386">
        <f t="shared" si="1"/>
        <v>0</v>
      </c>
      <c r="AN13" s="386">
        <f t="shared" si="1"/>
        <v>0</v>
      </c>
    </row>
    <row r="14" spans="1:46" ht="15.8" customHeight="1" thickBot="1" x14ac:dyDescent="0.3">
      <c r="A14" s="387"/>
      <c r="B14" s="388"/>
      <c r="C14" s="763" t="s">
        <v>373</v>
      </c>
      <c r="D14" s="808"/>
      <c r="E14" s="809"/>
      <c r="F14" s="399">
        <f>F7</f>
        <v>38</v>
      </c>
      <c r="G14" s="399">
        <f>G7</f>
        <v>21</v>
      </c>
      <c r="H14" s="399" t="s">
        <v>107</v>
      </c>
      <c r="I14" s="399" t="s">
        <v>107</v>
      </c>
      <c r="J14" s="399">
        <f t="shared" ref="J14:O14" si="2">J7</f>
        <v>5</v>
      </c>
      <c r="K14" s="399">
        <f t="shared" si="2"/>
        <v>5</v>
      </c>
      <c r="L14" s="399">
        <f t="shared" si="2"/>
        <v>0</v>
      </c>
      <c r="M14" s="399">
        <f t="shared" si="2"/>
        <v>1</v>
      </c>
      <c r="N14" s="399">
        <f t="shared" si="2"/>
        <v>0</v>
      </c>
      <c r="O14" s="399">
        <f t="shared" si="2"/>
        <v>0</v>
      </c>
      <c r="P14" s="399" t="s">
        <v>107</v>
      </c>
      <c r="Q14" s="399" t="s">
        <v>107</v>
      </c>
      <c r="R14" s="399">
        <f>R7</f>
        <v>2</v>
      </c>
      <c r="S14" s="395"/>
      <c r="T14" s="395"/>
      <c r="U14" s="395"/>
      <c r="V14" s="395"/>
      <c r="W14" s="396"/>
      <c r="X14" s="601" t="s">
        <v>373</v>
      </c>
      <c r="Y14" s="399">
        <f t="shared" ref="Y14:AN14" si="3">Y7</f>
        <v>1</v>
      </c>
      <c r="Z14" s="399">
        <f t="shared" si="3"/>
        <v>1</v>
      </c>
      <c r="AA14" s="399">
        <f t="shared" si="3"/>
        <v>0</v>
      </c>
      <c r="AB14" s="399">
        <f t="shared" si="3"/>
        <v>0</v>
      </c>
      <c r="AC14" s="397">
        <f t="shared" si="3"/>
        <v>1</v>
      </c>
      <c r="AD14" s="397">
        <f t="shared" si="3"/>
        <v>1</v>
      </c>
      <c r="AE14" s="397">
        <f t="shared" si="3"/>
        <v>0</v>
      </c>
      <c r="AF14" s="397">
        <f t="shared" si="3"/>
        <v>0</v>
      </c>
      <c r="AG14" s="398">
        <f t="shared" si="3"/>
        <v>0</v>
      </c>
      <c r="AH14" s="398">
        <f t="shared" si="3"/>
        <v>0</v>
      </c>
      <c r="AI14" s="398">
        <f t="shared" si="3"/>
        <v>0</v>
      </c>
      <c r="AJ14" s="398">
        <f t="shared" si="3"/>
        <v>0</v>
      </c>
      <c r="AK14" s="399">
        <f t="shared" si="3"/>
        <v>0</v>
      </c>
      <c r="AL14" s="399">
        <f t="shared" si="3"/>
        <v>0</v>
      </c>
      <c r="AM14" s="399">
        <f t="shared" si="3"/>
        <v>0</v>
      </c>
      <c r="AN14" s="399">
        <f t="shared" si="3"/>
        <v>0</v>
      </c>
    </row>
    <row r="15" spans="1:46" ht="15.8" customHeight="1" thickBot="1" x14ac:dyDescent="0.3">
      <c r="A15" s="387"/>
      <c r="B15" s="388"/>
      <c r="C15" s="789" t="s">
        <v>372</v>
      </c>
      <c r="D15" s="810"/>
      <c r="E15" s="811"/>
      <c r="F15" s="613">
        <f>SUM(F9:F12)</f>
        <v>105</v>
      </c>
      <c r="G15" s="613">
        <f t="shared" ref="G15:R15" si="4">SUM(G9:G12)</f>
        <v>42</v>
      </c>
      <c r="H15" s="613">
        <f t="shared" si="4"/>
        <v>2</v>
      </c>
      <c r="I15" s="613">
        <f t="shared" si="4"/>
        <v>0</v>
      </c>
      <c r="J15" s="613">
        <f t="shared" si="4"/>
        <v>11</v>
      </c>
      <c r="K15" s="613">
        <f t="shared" si="4"/>
        <v>6</v>
      </c>
      <c r="L15" s="613">
        <f t="shared" si="4"/>
        <v>1</v>
      </c>
      <c r="M15" s="613">
        <f t="shared" si="4"/>
        <v>9</v>
      </c>
      <c r="N15" s="613">
        <f t="shared" si="4"/>
        <v>0</v>
      </c>
      <c r="O15" s="613">
        <f t="shared" si="4"/>
        <v>0</v>
      </c>
      <c r="P15" s="613">
        <f t="shared" si="4"/>
        <v>0</v>
      </c>
      <c r="Q15" s="613">
        <f t="shared" si="4"/>
        <v>1</v>
      </c>
      <c r="R15" s="613">
        <f t="shared" si="4"/>
        <v>2</v>
      </c>
      <c r="S15" s="614"/>
      <c r="T15" s="614"/>
      <c r="U15" s="614"/>
      <c r="V15" s="614"/>
      <c r="W15" s="615"/>
      <c r="X15" s="619" t="s">
        <v>372</v>
      </c>
      <c r="Y15" s="620">
        <f t="shared" ref="Y15:AN15" si="5">SUM(Y9:Y12)</f>
        <v>4</v>
      </c>
      <c r="Z15" s="621">
        <f t="shared" si="5"/>
        <v>3</v>
      </c>
      <c r="AA15" s="613">
        <f t="shared" si="5"/>
        <v>0</v>
      </c>
      <c r="AB15" s="613">
        <f t="shared" si="5"/>
        <v>1</v>
      </c>
      <c r="AC15" s="617">
        <f t="shared" si="5"/>
        <v>1</v>
      </c>
      <c r="AD15" s="617">
        <f t="shared" si="5"/>
        <v>1</v>
      </c>
      <c r="AE15" s="617">
        <f t="shared" si="5"/>
        <v>0</v>
      </c>
      <c r="AF15" s="617">
        <f t="shared" si="5"/>
        <v>0</v>
      </c>
      <c r="AG15" s="618">
        <f t="shared" si="5"/>
        <v>2</v>
      </c>
      <c r="AH15" s="618">
        <f t="shared" si="5"/>
        <v>1</v>
      </c>
      <c r="AI15" s="618">
        <f t="shared" si="5"/>
        <v>0</v>
      </c>
      <c r="AJ15" s="618">
        <f t="shared" si="5"/>
        <v>1</v>
      </c>
      <c r="AK15" s="613">
        <f t="shared" si="5"/>
        <v>0</v>
      </c>
      <c r="AL15" s="613">
        <f t="shared" si="5"/>
        <v>0</v>
      </c>
      <c r="AM15" s="613">
        <f t="shared" si="5"/>
        <v>0</v>
      </c>
      <c r="AN15" s="613">
        <f t="shared" si="5"/>
        <v>0</v>
      </c>
    </row>
    <row r="16" spans="1:46" ht="14.95" thickBot="1" x14ac:dyDescent="0.3">
      <c r="A16" s="387"/>
      <c r="B16" s="388"/>
      <c r="C16" s="732" t="s">
        <v>108</v>
      </c>
      <c r="D16" s="733"/>
      <c r="E16" s="734"/>
      <c r="F16" s="552">
        <f>SUM(F3+F4+F5+F6+F7+F8+F10+F11+F12)</f>
        <v>253</v>
      </c>
      <c r="G16" s="552">
        <f t="shared" ref="G16:R16" si="6">SUM(G3+G4+G5+G6+G7+G8+G10+G11+G12)</f>
        <v>180</v>
      </c>
      <c r="H16" s="694">
        <f>SUM(H3+H4+H5+H6+H8+H10+H11)</f>
        <v>3</v>
      </c>
      <c r="I16" s="552">
        <f>SUM(I3+I4+I5+I6+I8+I10+I11)</f>
        <v>0</v>
      </c>
      <c r="J16" s="552">
        <f t="shared" si="6"/>
        <v>29</v>
      </c>
      <c r="K16" s="552">
        <f t="shared" si="6"/>
        <v>23</v>
      </c>
      <c r="L16" s="552">
        <f t="shared" si="6"/>
        <v>1</v>
      </c>
      <c r="M16" s="552">
        <f t="shared" si="6"/>
        <v>19</v>
      </c>
      <c r="N16" s="552">
        <f t="shared" si="6"/>
        <v>4</v>
      </c>
      <c r="O16" s="552">
        <f t="shared" si="6"/>
        <v>1</v>
      </c>
      <c r="P16" s="552">
        <f>SUM(P3+P4+P5+P6+P8+P10+P11)</f>
        <v>0</v>
      </c>
      <c r="Q16" s="552">
        <f>SUM(Q3+Q4+Q5+Q6+Q8+Q10+Q11)</f>
        <v>3</v>
      </c>
      <c r="R16" s="552">
        <f t="shared" si="6"/>
        <v>17</v>
      </c>
      <c r="S16" s="548"/>
      <c r="T16" s="548"/>
      <c r="U16" s="548"/>
      <c r="V16" s="548"/>
      <c r="W16" s="13"/>
      <c r="X16" s="596" t="s">
        <v>108</v>
      </c>
      <c r="Y16" s="552">
        <f t="shared" ref="Y16:AN16" si="7">SUM(Y3+Y4+Y5+Y6+Y7+Y8+Y10+Y11+Y12)</f>
        <v>9</v>
      </c>
      <c r="Z16" s="552">
        <f t="shared" si="7"/>
        <v>7</v>
      </c>
      <c r="AA16" s="552">
        <f t="shared" si="7"/>
        <v>0</v>
      </c>
      <c r="AB16" s="552">
        <f t="shared" si="7"/>
        <v>2</v>
      </c>
      <c r="AC16" s="550">
        <f t="shared" si="7"/>
        <v>5</v>
      </c>
      <c r="AD16" s="550">
        <f t="shared" si="7"/>
        <v>5</v>
      </c>
      <c r="AE16" s="550">
        <f t="shared" si="7"/>
        <v>0</v>
      </c>
      <c r="AF16" s="550">
        <f t="shared" si="7"/>
        <v>0</v>
      </c>
      <c r="AG16" s="551">
        <f t="shared" si="7"/>
        <v>4</v>
      </c>
      <c r="AH16" s="551">
        <f t="shared" si="7"/>
        <v>2</v>
      </c>
      <c r="AI16" s="551">
        <f t="shared" si="7"/>
        <v>0</v>
      </c>
      <c r="AJ16" s="551">
        <f t="shared" si="7"/>
        <v>2</v>
      </c>
      <c r="AK16" s="552">
        <f t="shared" si="7"/>
        <v>0</v>
      </c>
      <c r="AL16" s="552">
        <f t="shared" si="7"/>
        <v>0</v>
      </c>
      <c r="AM16" s="552">
        <f t="shared" si="7"/>
        <v>0</v>
      </c>
      <c r="AN16" s="552">
        <f t="shared" si="7"/>
        <v>0</v>
      </c>
    </row>
    <row r="17" spans="1:41" x14ac:dyDescent="0.25">
      <c r="A17" s="806" t="s">
        <v>462</v>
      </c>
      <c r="B17" s="725"/>
      <c r="C17" s="725"/>
      <c r="D17" s="725"/>
      <c r="E17" s="725"/>
      <c r="F17" s="725"/>
      <c r="G17" s="725"/>
      <c r="H17" s="725"/>
      <c r="I17" s="725"/>
      <c r="J17" s="725"/>
      <c r="K17" s="725"/>
      <c r="L17" s="725"/>
      <c r="M17" s="725"/>
      <c r="N17" s="725"/>
      <c r="O17" s="725"/>
      <c r="P17" s="725"/>
      <c r="Q17" s="725"/>
      <c r="R17" s="725"/>
      <c r="S17" s="725"/>
      <c r="T17" s="725"/>
      <c r="U17" s="725"/>
      <c r="V17" s="725"/>
      <c r="W17" s="725"/>
      <c r="X17" s="725"/>
      <c r="Y17" s="725"/>
      <c r="Z17" s="725"/>
      <c r="AA17" s="725"/>
      <c r="AB17" s="725"/>
      <c r="AC17" s="725"/>
      <c r="AD17" s="725"/>
      <c r="AE17" s="725"/>
      <c r="AF17" s="725"/>
      <c r="AG17" s="725"/>
      <c r="AH17" s="725"/>
      <c r="AI17" s="725"/>
      <c r="AJ17" s="725"/>
      <c r="AK17" s="725"/>
      <c r="AL17" s="725"/>
      <c r="AM17" s="725"/>
      <c r="AN17" s="725"/>
      <c r="AO17" s="725"/>
    </row>
    <row r="18" spans="1:41" x14ac:dyDescent="0.25">
      <c r="A18" s="806" t="s">
        <v>428</v>
      </c>
      <c r="B18" s="807"/>
      <c r="C18" s="807"/>
      <c r="D18" s="807"/>
      <c r="E18" s="807"/>
      <c r="F18" s="807"/>
      <c r="G18" s="807"/>
      <c r="H18" s="807"/>
      <c r="I18" s="807"/>
      <c r="J18" s="807"/>
      <c r="K18" s="807"/>
      <c r="L18" s="807"/>
      <c r="M18" s="807"/>
      <c r="N18" s="807"/>
      <c r="O18" s="807"/>
      <c r="P18" s="807"/>
      <c r="Q18" s="807"/>
      <c r="R18" s="807"/>
      <c r="S18" s="807"/>
      <c r="T18" s="807"/>
      <c r="U18" s="807"/>
      <c r="V18" s="807"/>
      <c r="W18" s="807"/>
      <c r="X18" s="807"/>
      <c r="Y18" s="807"/>
      <c r="Z18" s="807"/>
      <c r="AA18" s="807"/>
      <c r="AB18" s="807"/>
      <c r="AC18" s="807"/>
      <c r="AD18" s="807"/>
      <c r="AE18" s="807"/>
      <c r="AF18" s="807"/>
      <c r="AG18" s="807"/>
      <c r="AH18" s="807"/>
      <c r="AI18" s="807"/>
      <c r="AJ18" s="807"/>
      <c r="AK18" s="807"/>
      <c r="AL18" s="807"/>
      <c r="AM18" s="807"/>
      <c r="AN18" s="807"/>
    </row>
    <row r="19" spans="1:41" x14ac:dyDescent="0.25">
      <c r="A19" s="762" t="s">
        <v>518</v>
      </c>
      <c r="B19" s="725"/>
      <c r="C19" s="725"/>
      <c r="D19" s="725"/>
      <c r="E19" s="725"/>
      <c r="F19" s="725"/>
      <c r="G19" s="725"/>
      <c r="H19" s="725"/>
      <c r="I19" s="725"/>
      <c r="J19" s="725"/>
      <c r="K19" s="725"/>
      <c r="L19" s="725"/>
      <c r="M19" s="725"/>
      <c r="N19" s="725"/>
      <c r="O19" s="725"/>
      <c r="P19" s="725"/>
      <c r="Q19" s="725"/>
      <c r="R19" s="725"/>
      <c r="S19" s="725"/>
      <c r="T19" s="725"/>
      <c r="U19" s="725"/>
      <c r="V19" s="725"/>
      <c r="W19" s="725"/>
      <c r="X19" s="725"/>
      <c r="Y19" s="725"/>
      <c r="Z19" s="725"/>
      <c r="AA19" s="725"/>
      <c r="AB19" s="725"/>
      <c r="AC19" s="725"/>
      <c r="AD19" s="725"/>
      <c r="AE19" s="725"/>
      <c r="AF19" s="725"/>
      <c r="AG19" s="725"/>
      <c r="AH19" s="725"/>
      <c r="AI19" s="725"/>
      <c r="AJ19" s="725"/>
      <c r="AK19" s="725"/>
      <c r="AL19" s="725"/>
      <c r="AM19" s="725"/>
      <c r="AN19" s="725"/>
    </row>
    <row r="20" spans="1:41" x14ac:dyDescent="0.25">
      <c r="A20" s="762" t="s">
        <v>368</v>
      </c>
      <c r="B20" s="725"/>
      <c r="C20" s="725"/>
      <c r="D20" s="725"/>
      <c r="E20" s="725"/>
      <c r="F20" s="725"/>
      <c r="G20" s="725"/>
      <c r="H20" s="725"/>
      <c r="I20" s="725"/>
      <c r="J20" s="725"/>
      <c r="K20" s="725"/>
      <c r="L20" s="725"/>
      <c r="M20" s="725"/>
      <c r="N20" s="725"/>
      <c r="O20" s="725"/>
      <c r="P20" s="725"/>
      <c r="Q20" s="725"/>
      <c r="R20" s="725"/>
      <c r="S20" s="725"/>
      <c r="T20" s="725"/>
      <c r="U20" s="725"/>
      <c r="V20" s="725"/>
      <c r="W20" s="725"/>
      <c r="X20" s="725"/>
      <c r="Y20" s="725"/>
      <c r="Z20" s="725"/>
      <c r="AA20" s="725"/>
      <c r="AB20" s="725"/>
      <c r="AC20" s="725"/>
      <c r="AD20" s="725"/>
      <c r="AE20" s="725"/>
      <c r="AF20" s="725"/>
      <c r="AG20" s="725"/>
      <c r="AH20" s="725"/>
      <c r="AI20" s="725"/>
      <c r="AJ20" s="725"/>
      <c r="AK20" s="725"/>
      <c r="AL20" s="725"/>
      <c r="AM20" s="725"/>
      <c r="AN20" s="725"/>
    </row>
    <row r="21" spans="1:41" x14ac:dyDescent="0.25">
      <c r="A21" t="s">
        <v>234</v>
      </c>
      <c r="F21" s="14"/>
      <c r="G21" s="14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41" x14ac:dyDescent="0.25">
      <c r="A22" t="s">
        <v>449</v>
      </c>
      <c r="F22" s="14"/>
      <c r="G22" s="14"/>
      <c r="H22" s="13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41" x14ac:dyDescent="0.25">
      <c r="A23" t="s">
        <v>490</v>
      </c>
      <c r="F23" s="14"/>
      <c r="G23" s="14"/>
      <c r="H23" s="13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41" x14ac:dyDescent="0.25">
      <c r="A24" t="s">
        <v>231</v>
      </c>
      <c r="F24" s="14"/>
      <c r="G24" s="14"/>
      <c r="H24" s="13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41" x14ac:dyDescent="0.25">
      <c r="A25" s="156"/>
      <c r="B25" t="s">
        <v>44</v>
      </c>
    </row>
    <row r="26" spans="1:41" x14ac:dyDescent="0.25">
      <c r="A26" s="154"/>
      <c r="B26" t="s">
        <v>42</v>
      </c>
    </row>
    <row r="27" spans="1:41" x14ac:dyDescent="0.25">
      <c r="A27" s="155"/>
      <c r="B27" t="s">
        <v>43</v>
      </c>
    </row>
    <row r="28" spans="1:41" x14ac:dyDescent="0.25">
      <c r="A28" s="15" t="s">
        <v>28</v>
      </c>
    </row>
  </sheetData>
  <mergeCells count="18">
    <mergeCell ref="A18:AN18"/>
    <mergeCell ref="C14:E14"/>
    <mergeCell ref="C15:E15"/>
    <mergeCell ref="C16:E16"/>
    <mergeCell ref="A20:AN20"/>
    <mergeCell ref="A17:AO17"/>
    <mergeCell ref="A19:AN19"/>
    <mergeCell ref="A1:C1"/>
    <mergeCell ref="E1:G1"/>
    <mergeCell ref="H1:I1"/>
    <mergeCell ref="J1:M1"/>
    <mergeCell ref="C13:E13"/>
    <mergeCell ref="Y1:AB1"/>
    <mergeCell ref="AC1:AF1"/>
    <mergeCell ref="AG1:AJ1"/>
    <mergeCell ref="AK1:AN1"/>
    <mergeCell ref="N1:O1"/>
    <mergeCell ref="P1:R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17"/>
  <sheetViews>
    <sheetView workbookViewId="0">
      <pane ySplit="2" topLeftCell="A3" activePane="bottomLeft" state="frozen"/>
      <selection pane="bottomLeft" activeCell="U16" sqref="U16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375" customWidth="1"/>
    <col min="5" max="10" width="3.625" customWidth="1"/>
    <col min="11" max="11" width="3.875" customWidth="1"/>
    <col min="12" max="18" width="3.625" customWidth="1"/>
    <col min="19" max="20" width="6.375" customWidth="1"/>
    <col min="21" max="21" width="21.125" bestFit="1" customWidth="1"/>
    <col min="22" max="22" width="20.125" customWidth="1"/>
    <col min="23" max="23" width="21.875" bestFit="1" customWidth="1"/>
    <col min="24" max="24" width="21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819" t="s">
        <v>369</v>
      </c>
      <c r="B1" s="820"/>
      <c r="C1" s="820"/>
      <c r="D1" s="152"/>
      <c r="E1" s="817" t="s">
        <v>24</v>
      </c>
      <c r="F1" s="821"/>
      <c r="G1" s="818"/>
      <c r="H1" s="817" t="s">
        <v>23</v>
      </c>
      <c r="I1" s="818"/>
      <c r="J1" s="814" t="s">
        <v>6</v>
      </c>
      <c r="K1" s="815"/>
      <c r="L1" s="815"/>
      <c r="M1" s="816"/>
      <c r="N1" s="814" t="s">
        <v>7</v>
      </c>
      <c r="O1" s="816"/>
      <c r="P1" s="814" t="s">
        <v>25</v>
      </c>
      <c r="Q1" s="815"/>
      <c r="R1" s="816"/>
      <c r="S1" s="41" t="s">
        <v>8</v>
      </c>
      <c r="T1" s="556" t="s">
        <v>9</v>
      </c>
      <c r="U1" s="42" t="s">
        <v>10</v>
      </c>
      <c r="V1" s="41" t="s">
        <v>11</v>
      </c>
      <c r="W1" s="43" t="s">
        <v>26</v>
      </c>
      <c r="X1" s="170" t="s">
        <v>27</v>
      </c>
      <c r="Y1" s="812" t="s">
        <v>20</v>
      </c>
      <c r="Z1" s="747"/>
      <c r="AA1" s="747"/>
      <c r="AB1" s="748"/>
      <c r="AC1" s="813" t="s">
        <v>61</v>
      </c>
      <c r="AD1" s="747"/>
      <c r="AE1" s="747"/>
      <c r="AF1" s="748"/>
      <c r="AG1" s="813" t="s">
        <v>62</v>
      </c>
      <c r="AH1" s="747"/>
      <c r="AI1" s="747"/>
      <c r="AJ1" s="748"/>
      <c r="AK1" s="813" t="s">
        <v>63</v>
      </c>
      <c r="AL1" s="747"/>
      <c r="AM1" s="747"/>
      <c r="AN1" s="748"/>
      <c r="AP1" s="480" t="s">
        <v>185</v>
      </c>
      <c r="AQ1" s="520"/>
      <c r="AR1" s="520"/>
      <c r="AS1" s="480" t="s">
        <v>185</v>
      </c>
    </row>
    <row r="2" spans="1:46" ht="14.95" customHeight="1" thickBot="1" x14ac:dyDescent="0.3">
      <c r="A2" s="12" t="s">
        <v>19</v>
      </c>
      <c r="B2" s="44" t="s">
        <v>18</v>
      </c>
      <c r="C2" s="45" t="s">
        <v>17</v>
      </c>
      <c r="D2" s="45" t="s">
        <v>41</v>
      </c>
      <c r="E2" s="46" t="s">
        <v>16</v>
      </c>
      <c r="F2" s="46" t="s">
        <v>4</v>
      </c>
      <c r="G2" s="46" t="s">
        <v>5</v>
      </c>
      <c r="H2" s="47" t="s">
        <v>12</v>
      </c>
      <c r="I2" s="47" t="s">
        <v>3</v>
      </c>
      <c r="J2" s="47" t="s">
        <v>12</v>
      </c>
      <c r="K2" s="47" t="s">
        <v>13</v>
      </c>
      <c r="L2" s="47" t="s">
        <v>2</v>
      </c>
      <c r="M2" s="47" t="s">
        <v>14</v>
      </c>
      <c r="N2" s="47" t="s">
        <v>15</v>
      </c>
      <c r="O2" s="47" t="s">
        <v>16</v>
      </c>
      <c r="P2" s="47" t="s">
        <v>21</v>
      </c>
      <c r="Q2" s="47" t="s">
        <v>22</v>
      </c>
      <c r="R2" s="47" t="s">
        <v>12</v>
      </c>
      <c r="S2" s="48"/>
      <c r="T2" s="49"/>
      <c r="U2" s="50"/>
      <c r="V2" s="48"/>
      <c r="W2" s="198"/>
      <c r="X2" s="51"/>
      <c r="Y2" s="438" t="s">
        <v>0</v>
      </c>
      <c r="Z2" s="438" t="s">
        <v>1</v>
      </c>
      <c r="AA2" s="438" t="s">
        <v>2</v>
      </c>
      <c r="AB2" s="438" t="s">
        <v>3</v>
      </c>
      <c r="AC2" s="439" t="s">
        <v>0</v>
      </c>
      <c r="AD2" s="439" t="s">
        <v>1</v>
      </c>
      <c r="AE2" s="439" t="s">
        <v>2</v>
      </c>
      <c r="AF2" s="439" t="s">
        <v>3</v>
      </c>
      <c r="AG2" s="439" t="s">
        <v>0</v>
      </c>
      <c r="AH2" s="439" t="s">
        <v>1</v>
      </c>
      <c r="AI2" s="439" t="s">
        <v>2</v>
      </c>
      <c r="AJ2" s="439" t="s">
        <v>3</v>
      </c>
      <c r="AK2" s="439" t="s">
        <v>0</v>
      </c>
      <c r="AL2" s="439" t="s">
        <v>1</v>
      </c>
      <c r="AM2" s="439" t="s">
        <v>2</v>
      </c>
      <c r="AN2" s="439" t="s">
        <v>3</v>
      </c>
      <c r="AP2" s="481" t="s">
        <v>108</v>
      </c>
      <c r="AQ2" s="249"/>
      <c r="AS2" s="482" t="s">
        <v>167</v>
      </c>
      <c r="AT2" s="249"/>
    </row>
    <row r="3" spans="1:46" ht="14.95" customHeight="1" thickBot="1" x14ac:dyDescent="0.3">
      <c r="A3" s="183">
        <v>44150</v>
      </c>
      <c r="B3" s="174" t="s">
        <v>362</v>
      </c>
      <c r="C3" s="174" t="s">
        <v>34</v>
      </c>
      <c r="D3" s="174" t="s">
        <v>418</v>
      </c>
      <c r="E3" s="175" t="s">
        <v>13</v>
      </c>
      <c r="F3" s="175">
        <v>0</v>
      </c>
      <c r="G3" s="175">
        <v>28</v>
      </c>
      <c r="H3" s="175">
        <v>0</v>
      </c>
      <c r="I3" s="175">
        <v>0</v>
      </c>
      <c r="J3" s="175">
        <v>0</v>
      </c>
      <c r="K3" s="175">
        <v>0</v>
      </c>
      <c r="L3" s="175">
        <v>0</v>
      </c>
      <c r="M3" s="175">
        <v>0</v>
      </c>
      <c r="N3" s="175">
        <v>0</v>
      </c>
      <c r="O3" s="175">
        <v>0</v>
      </c>
      <c r="P3" s="175">
        <v>1</v>
      </c>
      <c r="Q3" s="175">
        <v>0</v>
      </c>
      <c r="R3" s="175">
        <v>4</v>
      </c>
      <c r="S3" s="176" t="s">
        <v>504</v>
      </c>
      <c r="T3" s="219"/>
      <c r="U3" s="177"/>
      <c r="V3" s="176"/>
      <c r="W3" s="176"/>
      <c r="X3" s="178"/>
      <c r="Y3" s="180">
        <v>1</v>
      </c>
      <c r="Z3" s="180">
        <v>0</v>
      </c>
      <c r="AA3" s="180">
        <v>0</v>
      </c>
      <c r="AB3" s="181">
        <v>1</v>
      </c>
      <c r="AC3" s="180">
        <v>0</v>
      </c>
      <c r="AD3" s="180">
        <v>0</v>
      </c>
      <c r="AE3" s="180">
        <v>0</v>
      </c>
      <c r="AF3" s="180">
        <v>0</v>
      </c>
      <c r="AG3" s="180">
        <v>1</v>
      </c>
      <c r="AH3" s="180">
        <v>0</v>
      </c>
      <c r="AI3" s="180">
        <v>0</v>
      </c>
      <c r="AJ3" s="180">
        <v>1</v>
      </c>
      <c r="AK3" s="180">
        <v>0</v>
      </c>
      <c r="AL3" s="180">
        <v>0</v>
      </c>
      <c r="AM3" s="180">
        <v>0</v>
      </c>
      <c r="AN3" s="180">
        <v>0</v>
      </c>
      <c r="AP3" s="501" t="s">
        <v>170</v>
      </c>
      <c r="AQ3" s="502">
        <f>Fijialltestshistplayed</f>
        <v>347</v>
      </c>
      <c r="AS3" s="501" t="s">
        <v>170</v>
      </c>
      <c r="AT3" s="502">
        <f>FijiRWChistplayed</f>
        <v>32</v>
      </c>
    </row>
    <row r="4" spans="1:46" ht="14.95" customHeight="1" thickBot="1" x14ac:dyDescent="0.35">
      <c r="A4" s="183">
        <v>44156</v>
      </c>
      <c r="B4" s="174" t="s">
        <v>362</v>
      </c>
      <c r="C4" s="174" t="s">
        <v>33</v>
      </c>
      <c r="D4" s="174" t="s">
        <v>420</v>
      </c>
      <c r="E4" s="175" t="s">
        <v>13</v>
      </c>
      <c r="F4" s="175">
        <v>0</v>
      </c>
      <c r="G4" s="175">
        <v>28</v>
      </c>
      <c r="H4" s="175">
        <v>0</v>
      </c>
      <c r="I4" s="175">
        <v>0</v>
      </c>
      <c r="J4" s="175">
        <v>0</v>
      </c>
      <c r="K4" s="175">
        <v>0</v>
      </c>
      <c r="L4" s="175">
        <v>0</v>
      </c>
      <c r="M4" s="175">
        <v>0</v>
      </c>
      <c r="N4" s="175">
        <v>0</v>
      </c>
      <c r="O4" s="175">
        <v>0</v>
      </c>
      <c r="P4" s="175">
        <v>1</v>
      </c>
      <c r="Q4" s="175">
        <v>0</v>
      </c>
      <c r="R4" s="175">
        <v>4</v>
      </c>
      <c r="S4" s="176" t="s">
        <v>504</v>
      </c>
      <c r="T4" s="346"/>
      <c r="U4" s="177"/>
      <c r="V4" s="176"/>
      <c r="W4" s="178"/>
      <c r="X4" s="179"/>
      <c r="Y4" s="180">
        <v>1</v>
      </c>
      <c r="Z4" s="180">
        <v>0</v>
      </c>
      <c r="AA4" s="180">
        <v>0</v>
      </c>
      <c r="AB4" s="181">
        <v>1</v>
      </c>
      <c r="AC4" s="180">
        <v>0</v>
      </c>
      <c r="AD4" s="180">
        <v>0</v>
      </c>
      <c r="AE4" s="180">
        <v>0</v>
      </c>
      <c r="AF4" s="180">
        <v>0</v>
      </c>
      <c r="AG4" s="180">
        <v>1</v>
      </c>
      <c r="AH4" s="180">
        <v>0</v>
      </c>
      <c r="AI4" s="180">
        <v>0</v>
      </c>
      <c r="AJ4" s="180">
        <v>1</v>
      </c>
      <c r="AK4" s="180">
        <v>0</v>
      </c>
      <c r="AL4" s="180">
        <v>0</v>
      </c>
      <c r="AM4" s="180">
        <v>0</v>
      </c>
      <c r="AN4" s="180">
        <v>0</v>
      </c>
      <c r="AP4" s="503" t="s">
        <v>171</v>
      </c>
      <c r="AQ4" s="504">
        <f>Fijialltestshistwon</f>
        <v>170</v>
      </c>
      <c r="AS4" s="503" t="s">
        <v>171</v>
      </c>
      <c r="AT4" s="504">
        <f>FijiRWChistwon</f>
        <v>11</v>
      </c>
    </row>
    <row r="5" spans="1:46" ht="14.95" customHeight="1" thickBot="1" x14ac:dyDescent="0.3">
      <c r="A5" s="183">
        <v>44163</v>
      </c>
      <c r="B5" s="174" t="s">
        <v>362</v>
      </c>
      <c r="C5" s="174" t="s">
        <v>35</v>
      </c>
      <c r="D5" s="174" t="s">
        <v>119</v>
      </c>
      <c r="E5" s="175" t="s">
        <v>13</v>
      </c>
      <c r="F5" s="175">
        <v>0</v>
      </c>
      <c r="G5" s="175">
        <v>28</v>
      </c>
      <c r="H5" s="175">
        <v>0</v>
      </c>
      <c r="I5" s="175">
        <v>0</v>
      </c>
      <c r="J5" s="175">
        <v>0</v>
      </c>
      <c r="K5" s="175">
        <v>0</v>
      </c>
      <c r="L5" s="175">
        <v>0</v>
      </c>
      <c r="M5" s="175">
        <v>0</v>
      </c>
      <c r="N5" s="175">
        <v>0</v>
      </c>
      <c r="O5" s="175">
        <v>0</v>
      </c>
      <c r="P5" s="175">
        <v>1</v>
      </c>
      <c r="Q5" s="175">
        <v>0</v>
      </c>
      <c r="R5" s="175">
        <v>4</v>
      </c>
      <c r="S5" s="176" t="s">
        <v>504</v>
      </c>
      <c r="T5" s="603"/>
      <c r="U5" s="177"/>
      <c r="V5" s="176"/>
      <c r="W5" s="178"/>
      <c r="X5" s="179"/>
      <c r="Y5" s="180">
        <v>1</v>
      </c>
      <c r="Z5" s="180">
        <v>0</v>
      </c>
      <c r="AA5" s="180">
        <v>0</v>
      </c>
      <c r="AB5" s="181">
        <v>1</v>
      </c>
      <c r="AC5" s="180">
        <v>0</v>
      </c>
      <c r="AD5" s="180">
        <v>0</v>
      </c>
      <c r="AE5" s="180">
        <v>0</v>
      </c>
      <c r="AF5" s="180">
        <v>0</v>
      </c>
      <c r="AG5" s="180">
        <v>1</v>
      </c>
      <c r="AH5" s="180">
        <v>0</v>
      </c>
      <c r="AI5" s="180">
        <v>0</v>
      </c>
      <c r="AJ5" s="180">
        <v>1</v>
      </c>
      <c r="AK5" s="180">
        <v>0</v>
      </c>
      <c r="AL5" s="180">
        <v>0</v>
      </c>
      <c r="AM5" s="180">
        <v>0</v>
      </c>
      <c r="AN5" s="180">
        <v>0</v>
      </c>
      <c r="AP5" s="503" t="s">
        <v>177</v>
      </c>
      <c r="AQ5" s="504">
        <f>Fijialltestshistdrawn</f>
        <v>10</v>
      </c>
      <c r="AS5" s="503" t="s">
        <v>177</v>
      </c>
      <c r="AT5" s="504">
        <f>FijiRWChistdrawn</f>
        <v>0</v>
      </c>
    </row>
    <row r="6" spans="1:46" ht="14.95" customHeight="1" thickBot="1" x14ac:dyDescent="0.35">
      <c r="A6" s="604">
        <v>44170</v>
      </c>
      <c r="B6" s="605" t="s">
        <v>362</v>
      </c>
      <c r="C6" s="605" t="s">
        <v>38</v>
      </c>
      <c r="D6" s="605" t="s">
        <v>119</v>
      </c>
      <c r="E6" s="606" t="s">
        <v>1</v>
      </c>
      <c r="F6" s="606">
        <v>38</v>
      </c>
      <c r="G6" s="606">
        <v>24</v>
      </c>
      <c r="H6" s="606" t="s">
        <v>107</v>
      </c>
      <c r="I6" s="606" t="s">
        <v>107</v>
      </c>
      <c r="J6" s="606">
        <v>6</v>
      </c>
      <c r="K6" s="606">
        <v>4</v>
      </c>
      <c r="L6" s="606">
        <v>0</v>
      </c>
      <c r="M6" s="606">
        <v>0</v>
      </c>
      <c r="N6" s="606">
        <v>0</v>
      </c>
      <c r="O6" s="606">
        <v>0</v>
      </c>
      <c r="P6" s="606" t="s">
        <v>107</v>
      </c>
      <c r="Q6" s="606" t="s">
        <v>107</v>
      </c>
      <c r="R6" s="606">
        <v>3</v>
      </c>
      <c r="S6" s="607">
        <v>0</v>
      </c>
      <c r="T6" s="705" t="s">
        <v>503</v>
      </c>
      <c r="U6" s="607" t="s">
        <v>413</v>
      </c>
      <c r="V6" s="607" t="s">
        <v>242</v>
      </c>
      <c r="W6" s="607" t="s">
        <v>491</v>
      </c>
      <c r="X6" s="608" t="s">
        <v>248</v>
      </c>
      <c r="Y6" s="609">
        <v>1</v>
      </c>
      <c r="Z6" s="609">
        <v>1</v>
      </c>
      <c r="AA6" s="609">
        <v>0</v>
      </c>
      <c r="AB6" s="610">
        <v>0</v>
      </c>
      <c r="AC6" s="609">
        <v>0</v>
      </c>
      <c r="AD6" s="609">
        <v>0</v>
      </c>
      <c r="AE6" s="609">
        <v>0</v>
      </c>
      <c r="AF6" s="610">
        <v>0</v>
      </c>
      <c r="AG6" s="609">
        <v>0</v>
      </c>
      <c r="AH6" s="609">
        <v>0</v>
      </c>
      <c r="AI6" s="609">
        <v>0</v>
      </c>
      <c r="AJ6" s="610">
        <v>0</v>
      </c>
      <c r="AK6" s="609">
        <v>1</v>
      </c>
      <c r="AL6" s="609">
        <v>1</v>
      </c>
      <c r="AM6" s="609">
        <v>0</v>
      </c>
      <c r="AN6" s="610">
        <v>0</v>
      </c>
      <c r="AP6" s="503" t="s">
        <v>172</v>
      </c>
      <c r="AQ6" s="504">
        <f>Fijialltestshistlost</f>
        <v>167</v>
      </c>
      <c r="AS6" s="503" t="s">
        <v>172</v>
      </c>
      <c r="AT6" s="504">
        <f>FijiRWChistlost</f>
        <v>21</v>
      </c>
    </row>
    <row r="7" spans="1:46" ht="14.95" customHeight="1" thickBot="1" x14ac:dyDescent="0.3">
      <c r="A7" s="387"/>
      <c r="B7" s="388"/>
      <c r="C7" s="789" t="s">
        <v>372</v>
      </c>
      <c r="D7" s="790"/>
      <c r="E7" s="791"/>
      <c r="F7" s="613">
        <f>SUM(F3:F6)</f>
        <v>38</v>
      </c>
      <c r="G7" s="613">
        <f t="shared" ref="G7:R7" si="0">SUM(G3:G6)</f>
        <v>108</v>
      </c>
      <c r="H7" s="613">
        <f t="shared" si="0"/>
        <v>0</v>
      </c>
      <c r="I7" s="613">
        <f t="shared" si="0"/>
        <v>0</v>
      </c>
      <c r="J7" s="613">
        <f t="shared" si="0"/>
        <v>6</v>
      </c>
      <c r="K7" s="613">
        <f t="shared" si="0"/>
        <v>4</v>
      </c>
      <c r="L7" s="613">
        <f t="shared" si="0"/>
        <v>0</v>
      </c>
      <c r="M7" s="613">
        <f t="shared" si="0"/>
        <v>0</v>
      </c>
      <c r="N7" s="613">
        <f t="shared" si="0"/>
        <v>0</v>
      </c>
      <c r="O7" s="613">
        <f t="shared" si="0"/>
        <v>0</v>
      </c>
      <c r="P7" s="613">
        <f t="shared" si="0"/>
        <v>3</v>
      </c>
      <c r="Q7" s="613">
        <f t="shared" si="0"/>
        <v>0</v>
      </c>
      <c r="R7" s="613">
        <f t="shared" si="0"/>
        <v>15</v>
      </c>
      <c r="S7" s="614"/>
      <c r="T7" s="614"/>
      <c r="U7" s="614"/>
      <c r="V7" s="614"/>
      <c r="W7" s="615"/>
      <c r="X7" s="616" t="s">
        <v>372</v>
      </c>
      <c r="Y7" s="613">
        <f t="shared" ref="Y7:AN7" si="1">SUM(Y3:Y6)</f>
        <v>4</v>
      </c>
      <c r="Z7" s="613">
        <f t="shared" si="1"/>
        <v>1</v>
      </c>
      <c r="AA7" s="613">
        <f t="shared" si="1"/>
        <v>0</v>
      </c>
      <c r="AB7" s="613">
        <f t="shared" si="1"/>
        <v>3</v>
      </c>
      <c r="AC7" s="617">
        <f t="shared" si="1"/>
        <v>0</v>
      </c>
      <c r="AD7" s="617">
        <f t="shared" si="1"/>
        <v>0</v>
      </c>
      <c r="AE7" s="617">
        <f t="shared" si="1"/>
        <v>0</v>
      </c>
      <c r="AF7" s="617">
        <f t="shared" si="1"/>
        <v>0</v>
      </c>
      <c r="AG7" s="618">
        <f t="shared" si="1"/>
        <v>3</v>
      </c>
      <c r="AH7" s="618">
        <f t="shared" si="1"/>
        <v>0</v>
      </c>
      <c r="AI7" s="618">
        <f t="shared" si="1"/>
        <v>0</v>
      </c>
      <c r="AJ7" s="618">
        <f t="shared" si="1"/>
        <v>3</v>
      </c>
      <c r="AK7" s="613">
        <f t="shared" si="1"/>
        <v>1</v>
      </c>
      <c r="AL7" s="613">
        <f t="shared" si="1"/>
        <v>1</v>
      </c>
      <c r="AM7" s="613">
        <f t="shared" si="1"/>
        <v>0</v>
      </c>
      <c r="AN7" s="613">
        <f t="shared" si="1"/>
        <v>0</v>
      </c>
      <c r="AP7" s="503" t="s">
        <v>178</v>
      </c>
      <c r="AQ7" s="504">
        <f>Fijialltestshistptsscored</f>
        <v>7509</v>
      </c>
      <c r="AS7" s="503" t="s">
        <v>178</v>
      </c>
      <c r="AT7" s="504">
        <f>FijiRWChistptsscored</f>
        <v>732</v>
      </c>
    </row>
    <row r="8" spans="1:46" ht="14.95" customHeight="1" thickBot="1" x14ac:dyDescent="0.3">
      <c r="A8" s="387"/>
      <c r="B8" s="388"/>
      <c r="C8" s="732" t="s">
        <v>108</v>
      </c>
      <c r="D8" s="733"/>
      <c r="E8" s="734"/>
      <c r="F8" s="552">
        <f>SUM(F6)</f>
        <v>38</v>
      </c>
      <c r="G8" s="552">
        <f t="shared" ref="G8:R8" si="2">SUM(G6)</f>
        <v>24</v>
      </c>
      <c r="H8" s="552">
        <f t="shared" si="2"/>
        <v>0</v>
      </c>
      <c r="I8" s="552">
        <f t="shared" si="2"/>
        <v>0</v>
      </c>
      <c r="J8" s="552">
        <f t="shared" si="2"/>
        <v>6</v>
      </c>
      <c r="K8" s="552">
        <f t="shared" si="2"/>
        <v>4</v>
      </c>
      <c r="L8" s="552">
        <f t="shared" si="2"/>
        <v>0</v>
      </c>
      <c r="M8" s="552">
        <f t="shared" si="2"/>
        <v>0</v>
      </c>
      <c r="N8" s="552">
        <f t="shared" si="2"/>
        <v>0</v>
      </c>
      <c r="O8" s="552">
        <f t="shared" si="2"/>
        <v>0</v>
      </c>
      <c r="P8" s="552">
        <f t="shared" si="2"/>
        <v>0</v>
      </c>
      <c r="Q8" s="552">
        <f t="shared" si="2"/>
        <v>0</v>
      </c>
      <c r="R8" s="552">
        <f t="shared" si="2"/>
        <v>3</v>
      </c>
      <c r="S8" s="548"/>
      <c r="T8" s="548"/>
      <c r="U8" s="548"/>
      <c r="V8" s="548"/>
      <c r="W8" s="13"/>
      <c r="X8" s="596" t="s">
        <v>108</v>
      </c>
      <c r="Y8" s="552">
        <f t="shared" ref="Y8:AN8" si="3">SUM(Y6)</f>
        <v>1</v>
      </c>
      <c r="Z8" s="552">
        <f t="shared" si="3"/>
        <v>1</v>
      </c>
      <c r="AA8" s="552">
        <f t="shared" si="3"/>
        <v>0</v>
      </c>
      <c r="AB8" s="552">
        <f t="shared" si="3"/>
        <v>0</v>
      </c>
      <c r="AC8" s="550">
        <f t="shared" si="3"/>
        <v>0</v>
      </c>
      <c r="AD8" s="550">
        <f t="shared" si="3"/>
        <v>0</v>
      </c>
      <c r="AE8" s="550">
        <f t="shared" si="3"/>
        <v>0</v>
      </c>
      <c r="AF8" s="550">
        <f t="shared" si="3"/>
        <v>0</v>
      </c>
      <c r="AG8" s="551">
        <f t="shared" si="3"/>
        <v>0</v>
      </c>
      <c r="AH8" s="551">
        <f t="shared" si="3"/>
        <v>0</v>
      </c>
      <c r="AI8" s="551">
        <f t="shared" si="3"/>
        <v>0</v>
      </c>
      <c r="AJ8" s="551">
        <f t="shared" si="3"/>
        <v>0</v>
      </c>
      <c r="AK8" s="552">
        <f t="shared" si="3"/>
        <v>1</v>
      </c>
      <c r="AL8" s="552">
        <f t="shared" si="3"/>
        <v>1</v>
      </c>
      <c r="AM8" s="552">
        <f t="shared" si="3"/>
        <v>0</v>
      </c>
      <c r="AN8" s="552">
        <f t="shared" si="3"/>
        <v>0</v>
      </c>
      <c r="AP8" s="503" t="s">
        <v>179</v>
      </c>
      <c r="AQ8" s="504">
        <f>Fijialltestshistptsagainst</f>
        <v>7250</v>
      </c>
      <c r="AS8" s="503" t="s">
        <v>179</v>
      </c>
      <c r="AT8" s="504">
        <f>FijiRWChistptsagainst</f>
        <v>971</v>
      </c>
    </row>
    <row r="9" spans="1:46" ht="14.95" customHeight="1" thickBot="1" x14ac:dyDescent="0.3">
      <c r="A9" t="s">
        <v>419</v>
      </c>
      <c r="AP9" s="503" t="s">
        <v>169</v>
      </c>
      <c r="AQ9" s="504">
        <f>Fijialltestshisttriesscored</f>
        <v>1058</v>
      </c>
      <c r="AS9" s="503" t="s">
        <v>169</v>
      </c>
      <c r="AT9" s="504">
        <f>FijiRWChisttriesscored</f>
        <v>86</v>
      </c>
    </row>
    <row r="10" spans="1:46" ht="14.95" customHeight="1" x14ac:dyDescent="0.25">
      <c r="A10" t="s">
        <v>421</v>
      </c>
    </row>
    <row r="11" spans="1:46" ht="14.95" customHeight="1" x14ac:dyDescent="0.25">
      <c r="A11" t="s">
        <v>58</v>
      </c>
    </row>
    <row r="12" spans="1:46" ht="14.95" customHeight="1" x14ac:dyDescent="0.25">
      <c r="A12" s="249" t="s">
        <v>462</v>
      </c>
    </row>
    <row r="13" spans="1:46" ht="14.95" customHeight="1" x14ac:dyDescent="0.25">
      <c r="A13" s="249" t="s">
        <v>226</v>
      </c>
    </row>
    <row r="14" spans="1:46" ht="14.95" customHeight="1" x14ac:dyDescent="0.25">
      <c r="A14" s="156"/>
      <c r="B14" t="s">
        <v>44</v>
      </c>
    </row>
    <row r="15" spans="1:46" x14ac:dyDescent="0.25">
      <c r="A15" s="154"/>
      <c r="B15" t="s">
        <v>42</v>
      </c>
    </row>
    <row r="16" spans="1:46" x14ac:dyDescent="0.25">
      <c r="A16" s="155"/>
      <c r="B16" t="s">
        <v>43</v>
      </c>
    </row>
    <row r="17" spans="1:1" x14ac:dyDescent="0.25">
      <c r="A17" s="15" t="s">
        <v>28</v>
      </c>
    </row>
  </sheetData>
  <mergeCells count="12">
    <mergeCell ref="C8:E8"/>
    <mergeCell ref="H1:I1"/>
    <mergeCell ref="A1:C1"/>
    <mergeCell ref="E1:G1"/>
    <mergeCell ref="C7:E7"/>
    <mergeCell ref="Y1:AB1"/>
    <mergeCell ref="AC1:AF1"/>
    <mergeCell ref="AG1:AJ1"/>
    <mergeCell ref="AK1:AN1"/>
    <mergeCell ref="J1:M1"/>
    <mergeCell ref="N1:O1"/>
    <mergeCell ref="P1:R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T27"/>
  <sheetViews>
    <sheetView workbookViewId="0">
      <pane ySplit="2" topLeftCell="A3" activePane="bottomLeft" state="frozen"/>
      <selection pane="bottomLeft" activeCell="U33" sqref="U33"/>
    </sheetView>
  </sheetViews>
  <sheetFormatPr defaultRowHeight="14.95" customHeight="1" x14ac:dyDescent="0.25"/>
  <cols>
    <col min="1" max="1" width="7.5" customWidth="1"/>
    <col min="2" max="2" width="5.5" customWidth="1"/>
    <col min="3" max="3" width="11.5" customWidth="1"/>
    <col min="4" max="4" width="4.875" bestFit="1" customWidth="1"/>
    <col min="5" max="18" width="3.625" customWidth="1"/>
    <col min="19" max="20" width="6.375" customWidth="1"/>
    <col min="21" max="21" width="25.875" bestFit="1" customWidth="1"/>
    <col min="22" max="22" width="22" bestFit="1" customWidth="1"/>
    <col min="23" max="23" width="25.875" bestFit="1" customWidth="1"/>
    <col min="24" max="24" width="21.875" bestFit="1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828" t="s">
        <v>251</v>
      </c>
      <c r="B1" s="829"/>
      <c r="C1" s="829"/>
      <c r="D1" s="640"/>
      <c r="E1" s="830" t="s">
        <v>24</v>
      </c>
      <c r="F1" s="831"/>
      <c r="G1" s="832"/>
      <c r="H1" s="830" t="s">
        <v>23</v>
      </c>
      <c r="I1" s="832"/>
      <c r="J1" s="825" t="s">
        <v>6</v>
      </c>
      <c r="K1" s="827"/>
      <c r="L1" s="827"/>
      <c r="M1" s="826"/>
      <c r="N1" s="825" t="s">
        <v>7</v>
      </c>
      <c r="O1" s="826"/>
      <c r="P1" s="825" t="s">
        <v>25</v>
      </c>
      <c r="Q1" s="827"/>
      <c r="R1" s="826"/>
      <c r="S1" s="641" t="s">
        <v>8</v>
      </c>
      <c r="T1" s="641" t="s">
        <v>9</v>
      </c>
      <c r="U1" s="642" t="s">
        <v>10</v>
      </c>
      <c r="V1" s="643" t="s">
        <v>11</v>
      </c>
      <c r="W1" s="644" t="s">
        <v>26</v>
      </c>
      <c r="X1" s="645" t="s">
        <v>27</v>
      </c>
      <c r="Y1" s="822" t="s">
        <v>20</v>
      </c>
      <c r="Z1" s="823"/>
      <c r="AA1" s="823"/>
      <c r="AB1" s="824"/>
      <c r="AC1" s="822" t="s">
        <v>61</v>
      </c>
      <c r="AD1" s="823"/>
      <c r="AE1" s="823"/>
      <c r="AF1" s="824"/>
      <c r="AG1" s="822" t="s">
        <v>62</v>
      </c>
      <c r="AH1" s="823"/>
      <c r="AI1" s="823"/>
      <c r="AJ1" s="824"/>
      <c r="AK1" s="822" t="s">
        <v>63</v>
      </c>
      <c r="AL1" s="823"/>
      <c r="AM1" s="823"/>
      <c r="AN1" s="824"/>
      <c r="AP1" s="656" t="s">
        <v>187</v>
      </c>
      <c r="AQ1" s="520"/>
      <c r="AR1" s="520"/>
      <c r="AS1" s="656" t="s">
        <v>187</v>
      </c>
    </row>
    <row r="2" spans="1:46" ht="14.95" customHeight="1" thickBot="1" x14ac:dyDescent="0.3">
      <c r="A2" s="646" t="s">
        <v>19</v>
      </c>
      <c r="B2" s="647" t="s">
        <v>18</v>
      </c>
      <c r="C2" s="639" t="s">
        <v>17</v>
      </c>
      <c r="D2" s="639" t="s">
        <v>41</v>
      </c>
      <c r="E2" s="648" t="s">
        <v>16</v>
      </c>
      <c r="F2" s="648" t="s">
        <v>4</v>
      </c>
      <c r="G2" s="648" t="s">
        <v>5</v>
      </c>
      <c r="H2" s="649" t="s">
        <v>12</v>
      </c>
      <c r="I2" s="649" t="s">
        <v>3</v>
      </c>
      <c r="J2" s="649" t="s">
        <v>12</v>
      </c>
      <c r="K2" s="649" t="s">
        <v>13</v>
      </c>
      <c r="L2" s="649" t="s">
        <v>2</v>
      </c>
      <c r="M2" s="649" t="s">
        <v>14</v>
      </c>
      <c r="N2" s="649" t="s">
        <v>15</v>
      </c>
      <c r="O2" s="649" t="s">
        <v>16</v>
      </c>
      <c r="P2" s="649" t="s">
        <v>21</v>
      </c>
      <c r="Q2" s="649" t="s">
        <v>22</v>
      </c>
      <c r="R2" s="649" t="s">
        <v>12</v>
      </c>
      <c r="S2" s="650"/>
      <c r="T2" s="651"/>
      <c r="U2" s="652"/>
      <c r="V2" s="650"/>
      <c r="W2" s="653"/>
      <c r="X2" s="654"/>
      <c r="Y2" s="655" t="s">
        <v>0</v>
      </c>
      <c r="Z2" s="655" t="s">
        <v>1</v>
      </c>
      <c r="AA2" s="655" t="s">
        <v>2</v>
      </c>
      <c r="AB2" s="655" t="s">
        <v>3</v>
      </c>
      <c r="AC2" s="655" t="s">
        <v>0</v>
      </c>
      <c r="AD2" s="655" t="s">
        <v>1</v>
      </c>
      <c r="AE2" s="655" t="s">
        <v>2</v>
      </c>
      <c r="AF2" s="655" t="s">
        <v>3</v>
      </c>
      <c r="AG2" s="655" t="s">
        <v>0</v>
      </c>
      <c r="AH2" s="655" t="s">
        <v>1</v>
      </c>
      <c r="AI2" s="655" t="s">
        <v>2</v>
      </c>
      <c r="AJ2" s="655" t="s">
        <v>3</v>
      </c>
      <c r="AK2" s="655" t="s">
        <v>0</v>
      </c>
      <c r="AL2" s="655" t="s">
        <v>1</v>
      </c>
      <c r="AM2" s="655" t="s">
        <v>2</v>
      </c>
      <c r="AN2" s="655" t="s">
        <v>3</v>
      </c>
      <c r="AP2" s="481" t="s">
        <v>108</v>
      </c>
      <c r="AQ2" s="249"/>
      <c r="AS2" s="482" t="s">
        <v>167</v>
      </c>
      <c r="AT2" s="249"/>
    </row>
    <row r="3" spans="1:46" ht="14.95" customHeight="1" thickBot="1" x14ac:dyDescent="0.35">
      <c r="A3" s="416">
        <v>43862</v>
      </c>
      <c r="B3" s="192" t="s">
        <v>112</v>
      </c>
      <c r="C3" s="192" t="s">
        <v>145</v>
      </c>
      <c r="D3" s="192" t="s">
        <v>252</v>
      </c>
      <c r="E3" s="193" t="s">
        <v>1</v>
      </c>
      <c r="F3" s="193">
        <v>41</v>
      </c>
      <c r="G3" s="193">
        <v>13</v>
      </c>
      <c r="H3" s="193">
        <v>1</v>
      </c>
      <c r="I3" s="193">
        <v>0</v>
      </c>
      <c r="J3" s="193">
        <v>6</v>
      </c>
      <c r="K3" s="193">
        <v>4</v>
      </c>
      <c r="L3" s="193">
        <v>0</v>
      </c>
      <c r="M3" s="193">
        <v>1</v>
      </c>
      <c r="N3" s="193">
        <v>0</v>
      </c>
      <c r="O3" s="193">
        <v>0</v>
      </c>
      <c r="P3" s="193">
        <v>0</v>
      </c>
      <c r="Q3" s="193">
        <v>0</v>
      </c>
      <c r="R3" s="193">
        <v>1</v>
      </c>
      <c r="S3" s="205">
        <v>20000</v>
      </c>
      <c r="T3" s="312" t="s">
        <v>253</v>
      </c>
      <c r="U3" s="206" t="s">
        <v>157</v>
      </c>
      <c r="V3" s="205" t="s">
        <v>153</v>
      </c>
      <c r="W3" s="194" t="s">
        <v>254</v>
      </c>
      <c r="X3" s="207" t="s">
        <v>255</v>
      </c>
      <c r="Y3" s="208">
        <v>1</v>
      </c>
      <c r="Z3" s="208">
        <v>1</v>
      </c>
      <c r="AA3" s="208">
        <v>0</v>
      </c>
      <c r="AB3" s="209">
        <v>0</v>
      </c>
      <c r="AC3" s="208">
        <v>1</v>
      </c>
      <c r="AD3" s="208">
        <v>1</v>
      </c>
      <c r="AE3" s="208">
        <v>0</v>
      </c>
      <c r="AF3" s="209">
        <v>0</v>
      </c>
      <c r="AG3" s="208">
        <v>0</v>
      </c>
      <c r="AH3" s="208">
        <v>0</v>
      </c>
      <c r="AI3" s="208">
        <v>0</v>
      </c>
      <c r="AJ3" s="209">
        <v>0</v>
      </c>
      <c r="AK3" s="208">
        <v>0</v>
      </c>
      <c r="AL3" s="208">
        <v>0</v>
      </c>
      <c r="AM3" s="208">
        <v>0</v>
      </c>
      <c r="AN3" s="209">
        <v>0</v>
      </c>
      <c r="AP3" s="501" t="s">
        <v>170</v>
      </c>
      <c r="AQ3" s="502">
        <f>Georgiaalltestshistplayed</f>
        <v>238</v>
      </c>
      <c r="AS3" s="501" t="s">
        <v>170</v>
      </c>
      <c r="AT3" s="502">
        <f>GeorgiaRWChistplayed</f>
        <v>20</v>
      </c>
    </row>
    <row r="4" spans="1:46" ht="14.95" customHeight="1" thickBot="1" x14ac:dyDescent="0.35">
      <c r="A4" s="183">
        <v>43870</v>
      </c>
      <c r="B4" s="174" t="s">
        <v>112</v>
      </c>
      <c r="C4" s="174" t="s">
        <v>146</v>
      </c>
      <c r="D4" s="174" t="s">
        <v>305</v>
      </c>
      <c r="E4" s="175" t="s">
        <v>1</v>
      </c>
      <c r="F4" s="175">
        <v>23</v>
      </c>
      <c r="G4" s="175">
        <v>10</v>
      </c>
      <c r="H4" s="175">
        <v>0</v>
      </c>
      <c r="I4" s="175">
        <v>0</v>
      </c>
      <c r="J4" s="175">
        <v>3</v>
      </c>
      <c r="K4" s="175">
        <v>1</v>
      </c>
      <c r="L4" s="175">
        <v>0</v>
      </c>
      <c r="M4" s="175">
        <v>2</v>
      </c>
      <c r="N4" s="175">
        <v>1</v>
      </c>
      <c r="O4" s="175">
        <v>0</v>
      </c>
      <c r="P4" s="175">
        <v>0</v>
      </c>
      <c r="Q4" s="175">
        <v>0</v>
      </c>
      <c r="R4" s="175">
        <v>2</v>
      </c>
      <c r="S4" s="176">
        <v>8000</v>
      </c>
      <c r="T4" s="346" t="s">
        <v>307</v>
      </c>
      <c r="U4" s="177" t="s">
        <v>308</v>
      </c>
      <c r="V4" s="176" t="s">
        <v>153</v>
      </c>
      <c r="W4" s="178" t="s">
        <v>309</v>
      </c>
      <c r="X4" s="179" t="s">
        <v>310</v>
      </c>
      <c r="Y4" s="180">
        <v>1</v>
      </c>
      <c r="Z4" s="180">
        <v>1</v>
      </c>
      <c r="AA4" s="180">
        <v>0</v>
      </c>
      <c r="AB4" s="181">
        <v>0</v>
      </c>
      <c r="AC4" s="180">
        <v>0</v>
      </c>
      <c r="AD4" s="180">
        <v>0</v>
      </c>
      <c r="AE4" s="180">
        <v>0</v>
      </c>
      <c r="AF4" s="181">
        <v>0</v>
      </c>
      <c r="AG4" s="180">
        <v>1</v>
      </c>
      <c r="AH4" s="180">
        <v>1</v>
      </c>
      <c r="AI4" s="180">
        <v>0</v>
      </c>
      <c r="AJ4" s="181">
        <v>0</v>
      </c>
      <c r="AK4" s="180">
        <v>0</v>
      </c>
      <c r="AL4" s="180">
        <v>0</v>
      </c>
      <c r="AM4" s="180">
        <v>0</v>
      </c>
      <c r="AN4" s="181">
        <v>0</v>
      </c>
      <c r="AP4" s="503" t="s">
        <v>171</v>
      </c>
      <c r="AQ4" s="504">
        <f>Georgiaalltestshistwon</f>
        <v>145</v>
      </c>
      <c r="AS4" s="503" t="s">
        <v>171</v>
      </c>
      <c r="AT4" s="504">
        <f>GeorgiaRWChistwon</f>
        <v>5</v>
      </c>
    </row>
    <row r="5" spans="1:46" ht="14.95" customHeight="1" thickBot="1" x14ac:dyDescent="0.35">
      <c r="A5" s="191">
        <v>43883</v>
      </c>
      <c r="B5" s="192" t="s">
        <v>112</v>
      </c>
      <c r="C5" s="192" t="s">
        <v>143</v>
      </c>
      <c r="D5" s="192" t="s">
        <v>311</v>
      </c>
      <c r="E5" s="193" t="s">
        <v>1</v>
      </c>
      <c r="F5" s="193">
        <v>78</v>
      </c>
      <c r="G5" s="193">
        <v>6</v>
      </c>
      <c r="H5" s="193">
        <v>1</v>
      </c>
      <c r="I5" s="193">
        <v>0</v>
      </c>
      <c r="J5" s="193">
        <v>12</v>
      </c>
      <c r="K5" s="193">
        <v>8</v>
      </c>
      <c r="L5" s="193">
        <v>0</v>
      </c>
      <c r="M5" s="193">
        <v>0</v>
      </c>
      <c r="N5" s="193">
        <v>0</v>
      </c>
      <c r="O5" s="193">
        <v>0</v>
      </c>
      <c r="P5" s="193">
        <v>0</v>
      </c>
      <c r="Q5" s="193">
        <v>0</v>
      </c>
      <c r="R5" s="193">
        <v>0</v>
      </c>
      <c r="S5" s="205">
        <v>5000</v>
      </c>
      <c r="T5" s="312" t="s">
        <v>312</v>
      </c>
      <c r="U5" s="206" t="s">
        <v>313</v>
      </c>
      <c r="V5" s="205" t="s">
        <v>153</v>
      </c>
      <c r="W5" s="194" t="s">
        <v>314</v>
      </c>
      <c r="X5" s="207" t="s">
        <v>315</v>
      </c>
      <c r="Y5" s="208">
        <v>1</v>
      </c>
      <c r="Z5" s="208">
        <v>1</v>
      </c>
      <c r="AA5" s="208">
        <v>0</v>
      </c>
      <c r="AB5" s="209">
        <v>0</v>
      </c>
      <c r="AC5" s="208">
        <v>1</v>
      </c>
      <c r="AD5" s="208">
        <v>1</v>
      </c>
      <c r="AE5" s="208">
        <v>0</v>
      </c>
      <c r="AF5" s="209">
        <v>0</v>
      </c>
      <c r="AG5" s="208">
        <v>0</v>
      </c>
      <c r="AH5" s="208">
        <v>0</v>
      </c>
      <c r="AI5" s="208">
        <v>0</v>
      </c>
      <c r="AJ5" s="209">
        <v>0</v>
      </c>
      <c r="AK5" s="208">
        <v>0</v>
      </c>
      <c r="AL5" s="208">
        <v>0</v>
      </c>
      <c r="AM5" s="208">
        <v>0</v>
      </c>
      <c r="AN5" s="209">
        <v>0</v>
      </c>
      <c r="AP5" s="503" t="s">
        <v>177</v>
      </c>
      <c r="AQ5" s="504">
        <f>Georgiaalltestshistdrawn</f>
        <v>7</v>
      </c>
      <c r="AS5" s="503" t="s">
        <v>177</v>
      </c>
      <c r="AT5" s="504">
        <f>GeorgiaRWChistdrawn</f>
        <v>0</v>
      </c>
    </row>
    <row r="6" spans="1:46" ht="14.95" customHeight="1" thickBot="1" x14ac:dyDescent="0.35">
      <c r="A6" s="184">
        <v>43897</v>
      </c>
      <c r="B6" s="185" t="s">
        <v>112</v>
      </c>
      <c r="C6" s="185" t="s">
        <v>147</v>
      </c>
      <c r="D6" s="185" t="s">
        <v>166</v>
      </c>
      <c r="E6" s="186" t="s">
        <v>1</v>
      </c>
      <c r="F6" s="186">
        <v>39</v>
      </c>
      <c r="G6" s="186">
        <v>24</v>
      </c>
      <c r="H6" s="186">
        <v>1</v>
      </c>
      <c r="I6" s="186">
        <v>0</v>
      </c>
      <c r="J6" s="186">
        <v>7</v>
      </c>
      <c r="K6" s="186">
        <v>1</v>
      </c>
      <c r="L6" s="186">
        <v>0</v>
      </c>
      <c r="M6" s="186">
        <v>0</v>
      </c>
      <c r="N6" s="186">
        <v>1</v>
      </c>
      <c r="O6" s="186">
        <v>0</v>
      </c>
      <c r="P6" s="186">
        <v>0</v>
      </c>
      <c r="Q6" s="186">
        <v>0</v>
      </c>
      <c r="R6" s="186">
        <v>3</v>
      </c>
      <c r="S6" s="199">
        <v>2000</v>
      </c>
      <c r="T6" s="361" t="s">
        <v>339</v>
      </c>
      <c r="U6" s="200" t="s">
        <v>340</v>
      </c>
      <c r="V6" s="199" t="s">
        <v>153</v>
      </c>
      <c r="W6" s="187" t="s">
        <v>341</v>
      </c>
      <c r="X6" s="201" t="s">
        <v>342</v>
      </c>
      <c r="Y6" s="202">
        <v>1</v>
      </c>
      <c r="Z6" s="202">
        <v>1</v>
      </c>
      <c r="AA6" s="202">
        <v>0</v>
      </c>
      <c r="AB6" s="203">
        <v>0</v>
      </c>
      <c r="AC6" s="202">
        <v>0</v>
      </c>
      <c r="AD6" s="202">
        <v>0</v>
      </c>
      <c r="AE6" s="202">
        <v>0</v>
      </c>
      <c r="AF6" s="203">
        <v>0</v>
      </c>
      <c r="AG6" s="202">
        <v>0</v>
      </c>
      <c r="AH6" s="202">
        <v>0</v>
      </c>
      <c r="AI6" s="202">
        <v>0</v>
      </c>
      <c r="AJ6" s="203">
        <v>0</v>
      </c>
      <c r="AK6" s="202">
        <v>1</v>
      </c>
      <c r="AL6" s="202">
        <v>1</v>
      </c>
      <c r="AM6" s="202">
        <v>0</v>
      </c>
      <c r="AN6" s="203">
        <v>0</v>
      </c>
      <c r="AP6" s="503" t="s">
        <v>172</v>
      </c>
      <c r="AQ6" s="504">
        <f>Georgiaalltestshistlost</f>
        <v>86</v>
      </c>
      <c r="AS6" s="503" t="s">
        <v>172</v>
      </c>
      <c r="AT6" s="504">
        <f>GeorgiaRWChistlost</f>
        <v>15</v>
      </c>
    </row>
    <row r="7" spans="1:46" ht="14.95" customHeight="1" thickBot="1" x14ac:dyDescent="0.3">
      <c r="A7" s="183">
        <v>44127</v>
      </c>
      <c r="B7" s="174" t="s">
        <v>45</v>
      </c>
      <c r="C7" s="174" t="s">
        <v>35</v>
      </c>
      <c r="D7" s="174" t="s">
        <v>119</v>
      </c>
      <c r="E7" s="175" t="s">
        <v>3</v>
      </c>
      <c r="F7" s="175">
        <v>7</v>
      </c>
      <c r="G7" s="175">
        <v>48</v>
      </c>
      <c r="H7" s="175" t="s">
        <v>107</v>
      </c>
      <c r="I7" s="175" t="s">
        <v>107</v>
      </c>
      <c r="J7" s="175">
        <v>1</v>
      </c>
      <c r="K7" s="175">
        <v>1</v>
      </c>
      <c r="L7" s="175">
        <v>0</v>
      </c>
      <c r="M7" s="175">
        <v>0</v>
      </c>
      <c r="N7" s="175">
        <v>1</v>
      </c>
      <c r="O7" s="175">
        <v>0</v>
      </c>
      <c r="P7" s="175" t="s">
        <v>107</v>
      </c>
      <c r="Q7" s="175" t="s">
        <v>107</v>
      </c>
      <c r="R7" s="175">
        <v>8</v>
      </c>
      <c r="S7" s="176">
        <v>0</v>
      </c>
      <c r="T7" s="219" t="s">
        <v>215</v>
      </c>
      <c r="U7" s="177" t="s">
        <v>388</v>
      </c>
      <c r="V7" s="176" t="s">
        <v>389</v>
      </c>
      <c r="W7" s="178" t="s">
        <v>127</v>
      </c>
      <c r="X7" s="179" t="s">
        <v>159</v>
      </c>
      <c r="Y7" s="180">
        <v>1</v>
      </c>
      <c r="Z7" s="180">
        <v>0</v>
      </c>
      <c r="AA7" s="180">
        <v>0</v>
      </c>
      <c r="AB7" s="181">
        <v>1</v>
      </c>
      <c r="AC7" s="180">
        <v>0</v>
      </c>
      <c r="AD7" s="180">
        <v>0</v>
      </c>
      <c r="AE7" s="180">
        <v>0</v>
      </c>
      <c r="AF7" s="181">
        <v>0</v>
      </c>
      <c r="AG7" s="180">
        <v>1</v>
      </c>
      <c r="AH7" s="180">
        <v>0</v>
      </c>
      <c r="AI7" s="180">
        <v>0</v>
      </c>
      <c r="AJ7" s="181">
        <v>1</v>
      </c>
      <c r="AK7" s="180">
        <v>0</v>
      </c>
      <c r="AL7" s="180">
        <v>0</v>
      </c>
      <c r="AM7" s="180">
        <v>0</v>
      </c>
      <c r="AN7" s="181">
        <v>0</v>
      </c>
      <c r="AP7" s="503" t="s">
        <v>178</v>
      </c>
      <c r="AQ7" s="504">
        <f>Georgiaalltestshistptsscored</f>
        <v>5535</v>
      </c>
      <c r="AS7" s="503" t="s">
        <v>178</v>
      </c>
      <c r="AT7" s="504">
        <f>GeorgiaRWChistptsscored</f>
        <v>262</v>
      </c>
    </row>
    <row r="8" spans="1:46" ht="14.95" customHeight="1" thickBot="1" x14ac:dyDescent="0.3">
      <c r="A8" s="183">
        <v>44149</v>
      </c>
      <c r="B8" s="174" t="s">
        <v>362</v>
      </c>
      <c r="C8" s="174" t="s">
        <v>30</v>
      </c>
      <c r="D8" s="174" t="s">
        <v>118</v>
      </c>
      <c r="E8" s="175" t="s">
        <v>3</v>
      </c>
      <c r="F8" s="175">
        <v>0</v>
      </c>
      <c r="G8" s="175">
        <v>40</v>
      </c>
      <c r="H8" s="175">
        <v>0</v>
      </c>
      <c r="I8" s="175">
        <v>0</v>
      </c>
      <c r="J8" s="175">
        <v>0</v>
      </c>
      <c r="K8" s="175">
        <v>0</v>
      </c>
      <c r="L8" s="175">
        <v>0</v>
      </c>
      <c r="M8" s="175">
        <v>0</v>
      </c>
      <c r="N8" s="175">
        <v>0</v>
      </c>
      <c r="O8" s="175">
        <v>0</v>
      </c>
      <c r="P8" s="175">
        <v>1</v>
      </c>
      <c r="Q8" s="175">
        <v>0</v>
      </c>
      <c r="R8" s="175">
        <v>6</v>
      </c>
      <c r="S8" s="176">
        <v>0</v>
      </c>
      <c r="T8" s="219" t="s">
        <v>403</v>
      </c>
      <c r="U8" s="177" t="s">
        <v>140</v>
      </c>
      <c r="V8" s="176" t="s">
        <v>159</v>
      </c>
      <c r="W8" s="178" t="s">
        <v>308</v>
      </c>
      <c r="X8" s="179" t="s">
        <v>461</v>
      </c>
      <c r="Y8" s="178">
        <v>1</v>
      </c>
      <c r="Z8" s="178">
        <v>0</v>
      </c>
      <c r="AA8" s="178">
        <v>0</v>
      </c>
      <c r="AB8" s="182">
        <v>1</v>
      </c>
      <c r="AC8" s="178">
        <v>0</v>
      </c>
      <c r="AD8" s="178">
        <v>0</v>
      </c>
      <c r="AE8" s="178">
        <v>0</v>
      </c>
      <c r="AF8" s="182">
        <v>0</v>
      </c>
      <c r="AG8" s="178">
        <v>1</v>
      </c>
      <c r="AH8" s="178">
        <v>0</v>
      </c>
      <c r="AI8" s="178">
        <v>0</v>
      </c>
      <c r="AJ8" s="182">
        <v>1</v>
      </c>
      <c r="AK8" s="178">
        <v>0</v>
      </c>
      <c r="AL8" s="178">
        <v>0</v>
      </c>
      <c r="AM8" s="178">
        <v>0</v>
      </c>
      <c r="AN8" s="182">
        <v>0</v>
      </c>
      <c r="AP8" s="503" t="s">
        <v>179</v>
      </c>
      <c r="AQ8" s="504">
        <f>Georgiaalltestshistptsagainst</f>
        <v>4373</v>
      </c>
      <c r="AS8" s="503" t="s">
        <v>179</v>
      </c>
      <c r="AT8" s="504">
        <f>GeorgiaRWChistptsagainst</f>
        <v>646</v>
      </c>
    </row>
    <row r="9" spans="1:46" ht="14.95" customHeight="1" thickBot="1" x14ac:dyDescent="0.3">
      <c r="A9" s="183">
        <v>44156</v>
      </c>
      <c r="B9" s="174" t="s">
        <v>362</v>
      </c>
      <c r="C9" s="174" t="s">
        <v>32</v>
      </c>
      <c r="D9" s="174" t="s">
        <v>363</v>
      </c>
      <c r="E9" s="175" t="s">
        <v>3</v>
      </c>
      <c r="F9" s="175">
        <v>0</v>
      </c>
      <c r="G9" s="175">
        <v>18</v>
      </c>
      <c r="H9" s="175">
        <v>0</v>
      </c>
      <c r="I9" s="175">
        <v>0</v>
      </c>
      <c r="J9" s="175">
        <v>0</v>
      </c>
      <c r="K9" s="175">
        <v>0</v>
      </c>
      <c r="L9" s="175">
        <v>0</v>
      </c>
      <c r="M9" s="175">
        <v>0</v>
      </c>
      <c r="N9" s="175">
        <v>1</v>
      </c>
      <c r="O9" s="175">
        <v>0</v>
      </c>
      <c r="P9" s="175">
        <v>0</v>
      </c>
      <c r="Q9" s="175">
        <v>0</v>
      </c>
      <c r="R9" s="175">
        <v>2</v>
      </c>
      <c r="S9" s="176">
        <v>0</v>
      </c>
      <c r="T9" s="219" t="s">
        <v>482</v>
      </c>
      <c r="U9" s="177" t="s">
        <v>125</v>
      </c>
      <c r="V9" s="176" t="s">
        <v>481</v>
      </c>
      <c r="W9" s="178" t="s">
        <v>121</v>
      </c>
      <c r="X9" s="179" t="s">
        <v>154</v>
      </c>
      <c r="Y9" s="178">
        <v>1</v>
      </c>
      <c r="Z9" s="178">
        <v>0</v>
      </c>
      <c r="AA9" s="178">
        <v>0</v>
      </c>
      <c r="AB9" s="182">
        <v>1</v>
      </c>
      <c r="AC9" s="178">
        <v>0</v>
      </c>
      <c r="AD9" s="178">
        <v>0</v>
      </c>
      <c r="AE9" s="178">
        <v>0</v>
      </c>
      <c r="AF9" s="182">
        <v>0</v>
      </c>
      <c r="AG9" s="178">
        <v>1</v>
      </c>
      <c r="AH9" s="178">
        <v>0</v>
      </c>
      <c r="AI9" s="178">
        <v>0</v>
      </c>
      <c r="AJ9" s="182">
        <v>1</v>
      </c>
      <c r="AK9" s="178">
        <v>0</v>
      </c>
      <c r="AL9" s="178">
        <v>0</v>
      </c>
      <c r="AM9" s="178">
        <v>0</v>
      </c>
      <c r="AN9" s="182">
        <v>0</v>
      </c>
      <c r="AP9" s="503" t="s">
        <v>169</v>
      </c>
      <c r="AQ9" s="504">
        <f>Georgiaalltestshisttriesscored</f>
        <v>673</v>
      </c>
      <c r="AS9" s="503" t="s">
        <v>169</v>
      </c>
      <c r="AT9" s="504">
        <f>GeorgiaRWChisttriesscored</f>
        <v>23</v>
      </c>
    </row>
    <row r="10" spans="1:46" ht="14.95" customHeight="1" thickBot="1" x14ac:dyDescent="0.3">
      <c r="A10" s="183">
        <v>44164</v>
      </c>
      <c r="B10" s="174" t="s">
        <v>362</v>
      </c>
      <c r="C10" s="174" t="s">
        <v>39</v>
      </c>
      <c r="D10" s="174" t="s">
        <v>117</v>
      </c>
      <c r="E10" s="175" t="s">
        <v>3</v>
      </c>
      <c r="F10" s="175">
        <v>10</v>
      </c>
      <c r="G10" s="175">
        <v>23</v>
      </c>
      <c r="H10" s="175">
        <v>0</v>
      </c>
      <c r="I10" s="175">
        <v>0</v>
      </c>
      <c r="J10" s="175">
        <v>1</v>
      </c>
      <c r="K10" s="175">
        <v>1</v>
      </c>
      <c r="L10" s="175">
        <v>0</v>
      </c>
      <c r="M10" s="175">
        <v>1</v>
      </c>
      <c r="N10" s="175">
        <v>0</v>
      </c>
      <c r="O10" s="175">
        <v>0</v>
      </c>
      <c r="P10" s="175">
        <v>0</v>
      </c>
      <c r="Q10" s="175">
        <v>0</v>
      </c>
      <c r="R10" s="175">
        <v>2</v>
      </c>
      <c r="S10" s="176">
        <v>0</v>
      </c>
      <c r="T10" s="219" t="s">
        <v>496</v>
      </c>
      <c r="U10" s="177" t="s">
        <v>127</v>
      </c>
      <c r="V10" s="176" t="s">
        <v>389</v>
      </c>
      <c r="W10" s="177" t="s">
        <v>125</v>
      </c>
      <c r="X10" s="178" t="s">
        <v>248</v>
      </c>
      <c r="Y10" s="180">
        <v>1</v>
      </c>
      <c r="Z10" s="180">
        <v>0</v>
      </c>
      <c r="AA10" s="180">
        <v>0</v>
      </c>
      <c r="AB10" s="181">
        <v>1</v>
      </c>
      <c r="AC10" s="180">
        <v>0</v>
      </c>
      <c r="AD10" s="180">
        <v>0</v>
      </c>
      <c r="AE10" s="180">
        <v>0</v>
      </c>
      <c r="AF10" s="181">
        <v>0</v>
      </c>
      <c r="AG10" s="180">
        <v>1</v>
      </c>
      <c r="AH10" s="180">
        <v>0</v>
      </c>
      <c r="AI10" s="180">
        <v>0</v>
      </c>
      <c r="AJ10" s="181">
        <v>1</v>
      </c>
      <c r="AK10" s="180">
        <v>0</v>
      </c>
      <c r="AL10" s="180">
        <v>0</v>
      </c>
      <c r="AM10" s="180">
        <v>0</v>
      </c>
      <c r="AN10" s="181">
        <v>0</v>
      </c>
    </row>
    <row r="11" spans="1:46" ht="14.95" customHeight="1" thickBot="1" x14ac:dyDescent="0.3">
      <c r="A11" s="703">
        <v>44170</v>
      </c>
      <c r="B11" s="704" t="s">
        <v>362</v>
      </c>
      <c r="C11" s="704" t="s">
        <v>31</v>
      </c>
      <c r="D11" s="704" t="s">
        <v>119</v>
      </c>
      <c r="E11" s="606" t="s">
        <v>3</v>
      </c>
      <c r="F11" s="606">
        <v>24</v>
      </c>
      <c r="G11" s="606">
        <v>38</v>
      </c>
      <c r="H11" s="606" t="s">
        <v>107</v>
      </c>
      <c r="I11" s="606" t="s">
        <v>107</v>
      </c>
      <c r="J11" s="606">
        <v>3</v>
      </c>
      <c r="K11" s="606">
        <v>3</v>
      </c>
      <c r="L11" s="606">
        <v>0</v>
      </c>
      <c r="M11" s="606">
        <v>1</v>
      </c>
      <c r="N11" s="606">
        <v>0</v>
      </c>
      <c r="O11" s="606">
        <v>0</v>
      </c>
      <c r="P11" s="606" t="s">
        <v>107</v>
      </c>
      <c r="Q11" s="606" t="s">
        <v>107</v>
      </c>
      <c r="R11" s="606">
        <v>6</v>
      </c>
      <c r="S11" s="607">
        <v>0</v>
      </c>
      <c r="T11" s="624" t="s">
        <v>502</v>
      </c>
      <c r="U11" s="607" t="s">
        <v>413</v>
      </c>
      <c r="V11" s="607" t="s">
        <v>242</v>
      </c>
      <c r="W11" s="607" t="s">
        <v>491</v>
      </c>
      <c r="X11" s="608" t="s">
        <v>248</v>
      </c>
      <c r="Y11" s="609">
        <v>1</v>
      </c>
      <c r="Z11" s="609">
        <v>0</v>
      </c>
      <c r="AA11" s="609">
        <v>0</v>
      </c>
      <c r="AB11" s="610">
        <v>1</v>
      </c>
      <c r="AC11" s="609">
        <v>0</v>
      </c>
      <c r="AD11" s="609">
        <v>0</v>
      </c>
      <c r="AE11" s="609">
        <v>0</v>
      </c>
      <c r="AF11" s="610">
        <v>0</v>
      </c>
      <c r="AG11" s="609">
        <v>0</v>
      </c>
      <c r="AH11" s="609">
        <v>0</v>
      </c>
      <c r="AI11" s="609">
        <v>0</v>
      </c>
      <c r="AJ11" s="610">
        <v>0</v>
      </c>
      <c r="AK11" s="609">
        <v>1</v>
      </c>
      <c r="AL11" s="609">
        <v>0</v>
      </c>
      <c r="AM11" s="609">
        <v>0</v>
      </c>
      <c r="AN11" s="610">
        <v>1</v>
      </c>
    </row>
    <row r="12" spans="1:46" ht="14.95" customHeight="1" thickBot="1" x14ac:dyDescent="0.3">
      <c r="A12" s="387"/>
      <c r="B12" s="388"/>
      <c r="C12" s="769" t="s">
        <v>111</v>
      </c>
      <c r="D12" s="770"/>
      <c r="E12" s="771"/>
      <c r="F12" s="386">
        <f>SUM(F3:F6)</f>
        <v>181</v>
      </c>
      <c r="G12" s="386">
        <f>SUM(G3:G6)</f>
        <v>53</v>
      </c>
      <c r="H12" s="386">
        <f t="shared" ref="H12:R12" si="0">SUM(H3:H6)</f>
        <v>3</v>
      </c>
      <c r="I12" s="386">
        <f t="shared" si="0"/>
        <v>0</v>
      </c>
      <c r="J12" s="386">
        <f t="shared" si="0"/>
        <v>28</v>
      </c>
      <c r="K12" s="386">
        <f t="shared" si="0"/>
        <v>14</v>
      </c>
      <c r="L12" s="386">
        <f t="shared" si="0"/>
        <v>0</v>
      </c>
      <c r="M12" s="386">
        <f t="shared" si="0"/>
        <v>3</v>
      </c>
      <c r="N12" s="386">
        <f t="shared" si="0"/>
        <v>2</v>
      </c>
      <c r="O12" s="386">
        <f t="shared" si="0"/>
        <v>0</v>
      </c>
      <c r="P12" s="386">
        <f t="shared" si="0"/>
        <v>0</v>
      </c>
      <c r="Q12" s="386">
        <f t="shared" si="0"/>
        <v>0</v>
      </c>
      <c r="R12" s="386">
        <f t="shared" si="0"/>
        <v>6</v>
      </c>
      <c r="W12" s="383"/>
      <c r="X12" s="612" t="s">
        <v>111</v>
      </c>
      <c r="Y12" s="386">
        <f t="shared" ref="Y12:AN12" si="1">SUM(Y3:Y6)</f>
        <v>4</v>
      </c>
      <c r="Z12" s="386">
        <f t="shared" si="1"/>
        <v>4</v>
      </c>
      <c r="AA12" s="386">
        <f t="shared" si="1"/>
        <v>0</v>
      </c>
      <c r="AB12" s="386">
        <f t="shared" si="1"/>
        <v>0</v>
      </c>
      <c r="AC12" s="384">
        <f t="shared" si="1"/>
        <v>2</v>
      </c>
      <c r="AD12" s="384">
        <f t="shared" si="1"/>
        <v>2</v>
      </c>
      <c r="AE12" s="384">
        <f t="shared" si="1"/>
        <v>0</v>
      </c>
      <c r="AF12" s="384">
        <f t="shared" si="1"/>
        <v>0</v>
      </c>
      <c r="AG12" s="385">
        <f t="shared" si="1"/>
        <v>1</v>
      </c>
      <c r="AH12" s="385">
        <f t="shared" si="1"/>
        <v>1</v>
      </c>
      <c r="AI12" s="385">
        <f t="shared" si="1"/>
        <v>0</v>
      </c>
      <c r="AJ12" s="385">
        <f t="shared" si="1"/>
        <v>0</v>
      </c>
      <c r="AK12" s="386">
        <f t="shared" si="1"/>
        <v>1</v>
      </c>
      <c r="AL12" s="386">
        <f t="shared" si="1"/>
        <v>1</v>
      </c>
      <c r="AM12" s="386">
        <f t="shared" si="1"/>
        <v>0</v>
      </c>
      <c r="AN12" s="386">
        <f t="shared" si="1"/>
        <v>0</v>
      </c>
    </row>
    <row r="13" spans="1:46" ht="14.95" customHeight="1" thickBot="1" x14ac:dyDescent="0.3">
      <c r="A13" s="387"/>
      <c r="B13" s="388"/>
      <c r="C13" s="763" t="s">
        <v>373</v>
      </c>
      <c r="D13" s="764"/>
      <c r="E13" s="765"/>
      <c r="F13" s="399">
        <f>F7</f>
        <v>7</v>
      </c>
      <c r="G13" s="399">
        <f>G7</f>
        <v>48</v>
      </c>
      <c r="H13" s="399" t="s">
        <v>107</v>
      </c>
      <c r="I13" s="399" t="s">
        <v>107</v>
      </c>
      <c r="J13" s="399">
        <f t="shared" ref="J13:O13" si="2">J7</f>
        <v>1</v>
      </c>
      <c r="K13" s="399">
        <f t="shared" si="2"/>
        <v>1</v>
      </c>
      <c r="L13" s="399">
        <f t="shared" si="2"/>
        <v>0</v>
      </c>
      <c r="M13" s="399">
        <f t="shared" si="2"/>
        <v>0</v>
      </c>
      <c r="N13" s="399">
        <f t="shared" si="2"/>
        <v>1</v>
      </c>
      <c r="O13" s="399">
        <f t="shared" si="2"/>
        <v>0</v>
      </c>
      <c r="P13" s="399" t="s">
        <v>107</v>
      </c>
      <c r="Q13" s="399" t="s">
        <v>107</v>
      </c>
      <c r="R13" s="399">
        <f>R7</f>
        <v>8</v>
      </c>
      <c r="S13" s="395"/>
      <c r="T13" s="395"/>
      <c r="U13" s="395"/>
      <c r="V13" s="395"/>
      <c r="W13" s="396"/>
      <c r="X13" s="595" t="s">
        <v>373</v>
      </c>
      <c r="Y13" s="598">
        <f t="shared" ref="Y13:AN13" si="3">Y7</f>
        <v>1</v>
      </c>
      <c r="Z13" s="599">
        <f t="shared" si="3"/>
        <v>0</v>
      </c>
      <c r="AA13" s="399">
        <f t="shared" si="3"/>
        <v>0</v>
      </c>
      <c r="AB13" s="399">
        <f t="shared" si="3"/>
        <v>1</v>
      </c>
      <c r="AC13" s="397">
        <f t="shared" si="3"/>
        <v>0</v>
      </c>
      <c r="AD13" s="397">
        <f t="shared" si="3"/>
        <v>0</v>
      </c>
      <c r="AE13" s="397">
        <f t="shared" si="3"/>
        <v>0</v>
      </c>
      <c r="AF13" s="397">
        <f t="shared" si="3"/>
        <v>0</v>
      </c>
      <c r="AG13" s="398">
        <f t="shared" si="3"/>
        <v>1</v>
      </c>
      <c r="AH13" s="398">
        <f t="shared" si="3"/>
        <v>0</v>
      </c>
      <c r="AI13" s="398">
        <f t="shared" si="3"/>
        <v>0</v>
      </c>
      <c r="AJ13" s="398">
        <f t="shared" si="3"/>
        <v>1</v>
      </c>
      <c r="AK13" s="399">
        <f t="shared" si="3"/>
        <v>0</v>
      </c>
      <c r="AL13" s="399">
        <f t="shared" si="3"/>
        <v>0</v>
      </c>
      <c r="AM13" s="399">
        <f t="shared" si="3"/>
        <v>0</v>
      </c>
      <c r="AN13" s="399">
        <f t="shared" si="3"/>
        <v>0</v>
      </c>
    </row>
    <row r="14" spans="1:46" ht="14.95" customHeight="1" thickBot="1" x14ac:dyDescent="0.3">
      <c r="A14" s="387"/>
      <c r="B14" s="388"/>
      <c r="C14" s="789" t="s">
        <v>372</v>
      </c>
      <c r="D14" s="833"/>
      <c r="E14" s="834"/>
      <c r="F14" s="613">
        <f>SUM(F8:F11)</f>
        <v>34</v>
      </c>
      <c r="G14" s="613">
        <f t="shared" ref="G14:R14" si="4">SUM(G8:G11)</f>
        <v>119</v>
      </c>
      <c r="H14" s="613">
        <f t="shared" si="4"/>
        <v>0</v>
      </c>
      <c r="I14" s="613">
        <f t="shared" si="4"/>
        <v>0</v>
      </c>
      <c r="J14" s="613">
        <f t="shared" si="4"/>
        <v>4</v>
      </c>
      <c r="K14" s="613">
        <f t="shared" si="4"/>
        <v>4</v>
      </c>
      <c r="L14" s="613">
        <f t="shared" si="4"/>
        <v>0</v>
      </c>
      <c r="M14" s="613">
        <f t="shared" si="4"/>
        <v>2</v>
      </c>
      <c r="N14" s="613">
        <f t="shared" si="4"/>
        <v>1</v>
      </c>
      <c r="O14" s="613">
        <f t="shared" si="4"/>
        <v>0</v>
      </c>
      <c r="P14" s="613">
        <f t="shared" si="4"/>
        <v>1</v>
      </c>
      <c r="Q14" s="613">
        <f t="shared" si="4"/>
        <v>0</v>
      </c>
      <c r="R14" s="613">
        <f t="shared" si="4"/>
        <v>16</v>
      </c>
      <c r="S14" s="614"/>
      <c r="T14" s="614"/>
      <c r="U14" s="614"/>
      <c r="V14" s="614"/>
      <c r="W14" s="615"/>
      <c r="X14" s="619" t="s">
        <v>372</v>
      </c>
      <c r="Y14" s="620">
        <f t="shared" ref="Y14:AN14" si="5">SUM(Y8:Y11)</f>
        <v>4</v>
      </c>
      <c r="Z14" s="621">
        <f t="shared" si="5"/>
        <v>0</v>
      </c>
      <c r="AA14" s="613">
        <f t="shared" si="5"/>
        <v>0</v>
      </c>
      <c r="AB14" s="613">
        <f t="shared" si="5"/>
        <v>4</v>
      </c>
      <c r="AC14" s="617">
        <f t="shared" si="5"/>
        <v>0</v>
      </c>
      <c r="AD14" s="617">
        <f t="shared" si="5"/>
        <v>0</v>
      </c>
      <c r="AE14" s="617">
        <f t="shared" si="5"/>
        <v>0</v>
      </c>
      <c r="AF14" s="617">
        <f t="shared" si="5"/>
        <v>0</v>
      </c>
      <c r="AG14" s="618">
        <f t="shared" si="5"/>
        <v>3</v>
      </c>
      <c r="AH14" s="618">
        <f t="shared" si="5"/>
        <v>0</v>
      </c>
      <c r="AI14" s="618">
        <f t="shared" si="5"/>
        <v>0</v>
      </c>
      <c r="AJ14" s="618">
        <f t="shared" si="5"/>
        <v>3</v>
      </c>
      <c r="AK14" s="613">
        <f t="shared" si="5"/>
        <v>1</v>
      </c>
      <c r="AL14" s="613">
        <f t="shared" si="5"/>
        <v>0</v>
      </c>
      <c r="AM14" s="613">
        <f t="shared" si="5"/>
        <v>0</v>
      </c>
      <c r="AN14" s="613">
        <f t="shared" si="5"/>
        <v>1</v>
      </c>
    </row>
    <row r="15" spans="1:46" ht="14.95" customHeight="1" thickBot="1" x14ac:dyDescent="0.3">
      <c r="A15" s="387"/>
      <c r="B15" s="388"/>
      <c r="C15" s="732" t="s">
        <v>108</v>
      </c>
      <c r="D15" s="733"/>
      <c r="E15" s="734"/>
      <c r="F15" s="552">
        <f t="shared" ref="F15:R15" si="6">SUM(F3:F11)</f>
        <v>222</v>
      </c>
      <c r="G15" s="552">
        <f t="shared" si="6"/>
        <v>220</v>
      </c>
      <c r="H15" s="552">
        <f t="shared" si="6"/>
        <v>3</v>
      </c>
      <c r="I15" s="552">
        <f t="shared" si="6"/>
        <v>0</v>
      </c>
      <c r="J15" s="552">
        <f t="shared" si="6"/>
        <v>33</v>
      </c>
      <c r="K15" s="552">
        <f t="shared" si="6"/>
        <v>19</v>
      </c>
      <c r="L15" s="552">
        <f t="shared" si="6"/>
        <v>0</v>
      </c>
      <c r="M15" s="552">
        <f t="shared" si="6"/>
        <v>5</v>
      </c>
      <c r="N15" s="552">
        <f t="shared" si="6"/>
        <v>4</v>
      </c>
      <c r="O15" s="552">
        <f t="shared" si="6"/>
        <v>0</v>
      </c>
      <c r="P15" s="552">
        <f t="shared" si="6"/>
        <v>1</v>
      </c>
      <c r="Q15" s="552">
        <f t="shared" si="6"/>
        <v>0</v>
      </c>
      <c r="R15" s="552">
        <f t="shared" si="6"/>
        <v>30</v>
      </c>
      <c r="S15" s="548"/>
      <c r="T15" s="548"/>
      <c r="U15" s="548"/>
      <c r="V15" s="548"/>
      <c r="W15" s="13"/>
      <c r="X15" s="596" t="s">
        <v>108</v>
      </c>
      <c r="Y15" s="552">
        <f t="shared" ref="Y15:AN15" si="7">SUM(Y3:Y11)</f>
        <v>9</v>
      </c>
      <c r="Z15" s="552">
        <f t="shared" si="7"/>
        <v>4</v>
      </c>
      <c r="AA15" s="552">
        <f t="shared" si="7"/>
        <v>0</v>
      </c>
      <c r="AB15" s="552">
        <f t="shared" si="7"/>
        <v>5</v>
      </c>
      <c r="AC15" s="550">
        <f t="shared" si="7"/>
        <v>2</v>
      </c>
      <c r="AD15" s="550">
        <f t="shared" si="7"/>
        <v>2</v>
      </c>
      <c r="AE15" s="550">
        <f t="shared" si="7"/>
        <v>0</v>
      </c>
      <c r="AF15" s="550">
        <f t="shared" si="7"/>
        <v>0</v>
      </c>
      <c r="AG15" s="551">
        <f t="shared" si="7"/>
        <v>5</v>
      </c>
      <c r="AH15" s="551">
        <f t="shared" si="7"/>
        <v>1</v>
      </c>
      <c r="AI15" s="551">
        <f t="shared" si="7"/>
        <v>0</v>
      </c>
      <c r="AJ15" s="551">
        <f t="shared" si="7"/>
        <v>4</v>
      </c>
      <c r="AK15" s="552">
        <f t="shared" si="7"/>
        <v>2</v>
      </c>
      <c r="AL15" s="552">
        <f t="shared" si="7"/>
        <v>1</v>
      </c>
      <c r="AM15" s="552">
        <f t="shared" si="7"/>
        <v>0</v>
      </c>
      <c r="AN15" s="552">
        <f t="shared" si="7"/>
        <v>1</v>
      </c>
    </row>
    <row r="16" spans="1:46" ht="14.95" customHeight="1" x14ac:dyDescent="0.25">
      <c r="A16" t="s">
        <v>306</v>
      </c>
      <c r="F16" s="14"/>
      <c r="G16" s="14"/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14.95" customHeight="1" x14ac:dyDescent="0.25">
      <c r="A17" t="s">
        <v>359</v>
      </c>
      <c r="F17" s="14"/>
      <c r="G17" s="14"/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14.95" customHeight="1" x14ac:dyDescent="0.25">
      <c r="A18" t="s">
        <v>365</v>
      </c>
      <c r="F18" s="14"/>
      <c r="G18" s="14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14.95" customHeight="1" x14ac:dyDescent="0.25">
      <c r="A19" t="s">
        <v>450</v>
      </c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14.95" customHeight="1" x14ac:dyDescent="0.25">
      <c r="A20" t="s">
        <v>451</v>
      </c>
      <c r="F20" s="14"/>
      <c r="G20" s="14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14.95" customHeight="1" x14ac:dyDescent="0.25">
      <c r="F21" s="14"/>
      <c r="G21" s="14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14.95" customHeight="1" x14ac:dyDescent="0.25">
      <c r="F22" s="14"/>
      <c r="G22" s="14"/>
      <c r="H22" s="13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14.95" customHeight="1" x14ac:dyDescent="0.25">
      <c r="A23" t="s">
        <v>338</v>
      </c>
      <c r="F23" s="14"/>
      <c r="G23" s="14"/>
      <c r="H23" s="13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14.95" customHeight="1" x14ac:dyDescent="0.25">
      <c r="A24" s="156"/>
      <c r="B24" t="s">
        <v>44</v>
      </c>
    </row>
    <row r="25" spans="1:18" ht="14.95" customHeight="1" x14ac:dyDescent="0.25">
      <c r="A25" s="154"/>
      <c r="B25" t="s">
        <v>42</v>
      </c>
    </row>
    <row r="26" spans="1:18" ht="14.95" customHeight="1" x14ac:dyDescent="0.25">
      <c r="A26" s="155"/>
      <c r="B26" t="s">
        <v>43</v>
      </c>
    </row>
    <row r="27" spans="1:18" ht="14.95" customHeight="1" x14ac:dyDescent="0.25">
      <c r="A27" s="15" t="s">
        <v>28</v>
      </c>
    </row>
  </sheetData>
  <mergeCells count="14">
    <mergeCell ref="Y1:AB1"/>
    <mergeCell ref="AC1:AF1"/>
    <mergeCell ref="AG1:AJ1"/>
    <mergeCell ref="AK1:AN1"/>
    <mergeCell ref="C15:E15"/>
    <mergeCell ref="N1:O1"/>
    <mergeCell ref="P1:R1"/>
    <mergeCell ref="A1:C1"/>
    <mergeCell ref="E1:G1"/>
    <mergeCell ref="H1:I1"/>
    <mergeCell ref="J1:M1"/>
    <mergeCell ref="C12:E12"/>
    <mergeCell ref="C13:E13"/>
    <mergeCell ref="C14:E1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T23"/>
  <sheetViews>
    <sheetView workbookViewId="0">
      <pane ySplit="2" topLeftCell="A3" activePane="bottomLeft" state="frozen"/>
      <selection pane="bottomLeft" activeCell="T9" sqref="T9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625" customWidth="1"/>
    <col min="19" max="20" width="6.375" customWidth="1"/>
    <col min="21" max="21" width="30.5" customWidth="1"/>
    <col min="22" max="22" width="22.5" customWidth="1"/>
    <col min="23" max="23" width="21.625" customWidth="1"/>
    <col min="24" max="24" width="30.5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839" t="s">
        <v>225</v>
      </c>
      <c r="B1" s="840"/>
      <c r="C1" s="840"/>
      <c r="D1" s="153"/>
      <c r="E1" s="841" t="s">
        <v>24</v>
      </c>
      <c r="F1" s="842"/>
      <c r="G1" s="843"/>
      <c r="H1" s="841" t="s">
        <v>23</v>
      </c>
      <c r="I1" s="843"/>
      <c r="J1" s="836" t="s">
        <v>6</v>
      </c>
      <c r="K1" s="837"/>
      <c r="L1" s="837"/>
      <c r="M1" s="838"/>
      <c r="N1" s="836" t="s">
        <v>7</v>
      </c>
      <c r="O1" s="838"/>
      <c r="P1" s="836" t="s">
        <v>25</v>
      </c>
      <c r="Q1" s="837"/>
      <c r="R1" s="838"/>
      <c r="S1" s="558" t="s">
        <v>8</v>
      </c>
      <c r="T1" s="558" t="s">
        <v>9</v>
      </c>
      <c r="U1" s="55" t="s">
        <v>10</v>
      </c>
      <c r="V1" s="54" t="s">
        <v>11</v>
      </c>
      <c r="W1" s="56" t="s">
        <v>26</v>
      </c>
      <c r="X1" s="169" t="s">
        <v>27</v>
      </c>
      <c r="Y1" s="835" t="s">
        <v>20</v>
      </c>
      <c r="Z1" s="747"/>
      <c r="AA1" s="747"/>
      <c r="AB1" s="748"/>
      <c r="AC1" s="835" t="s">
        <v>61</v>
      </c>
      <c r="AD1" s="747"/>
      <c r="AE1" s="747"/>
      <c r="AF1" s="748"/>
      <c r="AG1" s="835" t="s">
        <v>62</v>
      </c>
      <c r="AH1" s="747"/>
      <c r="AI1" s="747"/>
      <c r="AJ1" s="748"/>
      <c r="AK1" s="835" t="s">
        <v>63</v>
      </c>
      <c r="AL1" s="747"/>
      <c r="AM1" s="747"/>
      <c r="AN1" s="748"/>
      <c r="AP1" s="526" t="s">
        <v>188</v>
      </c>
      <c r="AQ1" s="520"/>
      <c r="AR1" s="520"/>
      <c r="AS1" s="526" t="s">
        <v>188</v>
      </c>
    </row>
    <row r="2" spans="1:46" ht="14.95" customHeight="1" thickBot="1" x14ac:dyDescent="0.3">
      <c r="A2" s="57" t="s">
        <v>19</v>
      </c>
      <c r="B2" s="58" t="s">
        <v>18</v>
      </c>
      <c r="C2" s="59" t="s">
        <v>17</v>
      </c>
      <c r="D2" s="59" t="s">
        <v>41</v>
      </c>
      <c r="E2" s="60" t="s">
        <v>16</v>
      </c>
      <c r="F2" s="60" t="s">
        <v>4</v>
      </c>
      <c r="G2" s="60" t="s">
        <v>5</v>
      </c>
      <c r="H2" s="61" t="s">
        <v>12</v>
      </c>
      <c r="I2" s="61" t="s">
        <v>3</v>
      </c>
      <c r="J2" s="61" t="s">
        <v>12</v>
      </c>
      <c r="K2" s="61" t="s">
        <v>13</v>
      </c>
      <c r="L2" s="61" t="s">
        <v>2</v>
      </c>
      <c r="M2" s="61" t="s">
        <v>14</v>
      </c>
      <c r="N2" s="61" t="s">
        <v>15</v>
      </c>
      <c r="O2" s="61" t="s">
        <v>16</v>
      </c>
      <c r="P2" s="61" t="s">
        <v>21</v>
      </c>
      <c r="Q2" s="61" t="s">
        <v>22</v>
      </c>
      <c r="R2" s="61" t="s">
        <v>12</v>
      </c>
      <c r="S2" s="62"/>
      <c r="T2" s="63"/>
      <c r="U2" s="64"/>
      <c r="V2" s="62"/>
      <c r="W2" s="65"/>
      <c r="X2" s="66"/>
      <c r="Y2" s="441" t="s">
        <v>0</v>
      </c>
      <c r="Z2" s="441" t="s">
        <v>1</v>
      </c>
      <c r="AA2" s="441" t="s">
        <v>2</v>
      </c>
      <c r="AB2" s="441" t="s">
        <v>3</v>
      </c>
      <c r="AC2" s="441" t="s">
        <v>0</v>
      </c>
      <c r="AD2" s="441" t="s">
        <v>1</v>
      </c>
      <c r="AE2" s="441" t="s">
        <v>2</v>
      </c>
      <c r="AF2" s="441" t="s">
        <v>3</v>
      </c>
      <c r="AG2" s="441" t="s">
        <v>0</v>
      </c>
      <c r="AH2" s="441" t="s">
        <v>1</v>
      </c>
      <c r="AI2" s="441" t="s">
        <v>2</v>
      </c>
      <c r="AJ2" s="441" t="s">
        <v>3</v>
      </c>
      <c r="AK2" s="441" t="s">
        <v>0</v>
      </c>
      <c r="AL2" s="441" t="s">
        <v>1</v>
      </c>
      <c r="AM2" s="441" t="s">
        <v>2</v>
      </c>
      <c r="AN2" s="441" t="s">
        <v>3</v>
      </c>
      <c r="AP2" s="481" t="s">
        <v>108</v>
      </c>
      <c r="AQ2" s="249"/>
      <c r="AS2" s="482" t="s">
        <v>167</v>
      </c>
      <c r="AT2" s="249"/>
    </row>
    <row r="3" spans="1:46" ht="14.95" customHeight="1" thickBot="1" x14ac:dyDescent="0.35">
      <c r="A3" s="191">
        <v>43862</v>
      </c>
      <c r="B3" s="210" t="s">
        <v>46</v>
      </c>
      <c r="C3" s="192" t="s">
        <v>35</v>
      </c>
      <c r="D3" s="192" t="s">
        <v>117</v>
      </c>
      <c r="E3" s="193" t="s">
        <v>1</v>
      </c>
      <c r="F3" s="193">
        <v>19</v>
      </c>
      <c r="G3" s="193">
        <v>12</v>
      </c>
      <c r="H3" s="193">
        <v>0</v>
      </c>
      <c r="I3" s="193">
        <v>0</v>
      </c>
      <c r="J3" s="193">
        <v>1</v>
      </c>
      <c r="K3" s="193">
        <v>1</v>
      </c>
      <c r="L3" s="193">
        <v>0</v>
      </c>
      <c r="M3" s="193">
        <v>4</v>
      </c>
      <c r="N3" s="193">
        <v>0</v>
      </c>
      <c r="O3" s="193">
        <v>0</v>
      </c>
      <c r="P3" s="193">
        <v>0</v>
      </c>
      <c r="Q3" s="193">
        <v>1</v>
      </c>
      <c r="R3" s="193">
        <v>0</v>
      </c>
      <c r="S3" s="205">
        <v>51000</v>
      </c>
      <c r="T3" s="312" t="s">
        <v>240</v>
      </c>
      <c r="U3" s="206" t="s">
        <v>127</v>
      </c>
      <c r="V3" s="205" t="s">
        <v>128</v>
      </c>
      <c r="W3" s="194" t="s">
        <v>136</v>
      </c>
      <c r="X3" s="207" t="s">
        <v>126</v>
      </c>
      <c r="Y3" s="208">
        <v>1</v>
      </c>
      <c r="Z3" s="208">
        <v>1</v>
      </c>
      <c r="AA3" s="208">
        <v>0</v>
      </c>
      <c r="AB3" s="209">
        <v>0</v>
      </c>
      <c r="AC3" s="208">
        <v>1</v>
      </c>
      <c r="AD3" s="208">
        <v>1</v>
      </c>
      <c r="AE3" s="208">
        <v>0</v>
      </c>
      <c r="AF3" s="209">
        <v>0</v>
      </c>
      <c r="AG3" s="208">
        <v>0</v>
      </c>
      <c r="AH3" s="208">
        <v>0</v>
      </c>
      <c r="AI3" s="208">
        <v>0</v>
      </c>
      <c r="AJ3" s="209">
        <v>0</v>
      </c>
      <c r="AK3" s="208">
        <v>0</v>
      </c>
      <c r="AL3" s="208">
        <v>0</v>
      </c>
      <c r="AM3" s="208">
        <v>0</v>
      </c>
      <c r="AN3" s="209">
        <v>0</v>
      </c>
      <c r="AP3" s="501" t="s">
        <v>170</v>
      </c>
      <c r="AQ3" s="502">
        <f>Irelandalltestshistplayed</f>
        <v>713</v>
      </c>
      <c r="AS3" s="501" t="s">
        <v>170</v>
      </c>
      <c r="AT3" s="502">
        <f>IrelandRWChistplayed</f>
        <v>40</v>
      </c>
    </row>
    <row r="4" spans="1:46" ht="14.95" customHeight="1" thickBot="1" x14ac:dyDescent="0.35">
      <c r="A4" s="191">
        <v>43869</v>
      </c>
      <c r="B4" s="192" t="s">
        <v>46</v>
      </c>
      <c r="C4" s="192" t="s">
        <v>32</v>
      </c>
      <c r="D4" s="192" t="s">
        <v>117</v>
      </c>
      <c r="E4" s="193" t="s">
        <v>1</v>
      </c>
      <c r="F4" s="193">
        <v>24</v>
      </c>
      <c r="G4" s="193">
        <v>14</v>
      </c>
      <c r="H4" s="193">
        <v>1</v>
      </c>
      <c r="I4" s="193">
        <v>0</v>
      </c>
      <c r="J4" s="193">
        <v>4</v>
      </c>
      <c r="K4" s="193">
        <v>2</v>
      </c>
      <c r="L4" s="193">
        <v>0</v>
      </c>
      <c r="M4" s="193">
        <v>0</v>
      </c>
      <c r="N4" s="193">
        <v>1</v>
      </c>
      <c r="O4" s="193">
        <v>0</v>
      </c>
      <c r="P4" s="193">
        <v>0</v>
      </c>
      <c r="Q4" s="193">
        <v>0</v>
      </c>
      <c r="R4" s="193">
        <v>2</v>
      </c>
      <c r="S4" s="205">
        <v>51700</v>
      </c>
      <c r="T4" s="312" t="s">
        <v>139</v>
      </c>
      <c r="U4" s="206" t="s">
        <v>122</v>
      </c>
      <c r="V4" s="205" t="s">
        <v>128</v>
      </c>
      <c r="W4" s="194" t="s">
        <v>125</v>
      </c>
      <c r="X4" s="207" t="s">
        <v>207</v>
      </c>
      <c r="Y4" s="208">
        <v>1</v>
      </c>
      <c r="Z4" s="208">
        <v>1</v>
      </c>
      <c r="AA4" s="208">
        <v>0</v>
      </c>
      <c r="AB4" s="209">
        <v>0</v>
      </c>
      <c r="AC4" s="208">
        <v>1</v>
      </c>
      <c r="AD4" s="208">
        <v>1</v>
      </c>
      <c r="AE4" s="208">
        <v>0</v>
      </c>
      <c r="AF4" s="209">
        <v>0</v>
      </c>
      <c r="AG4" s="208">
        <v>0</v>
      </c>
      <c r="AH4" s="208">
        <v>0</v>
      </c>
      <c r="AI4" s="208">
        <v>0</v>
      </c>
      <c r="AJ4" s="209">
        <v>0</v>
      </c>
      <c r="AK4" s="208">
        <v>0</v>
      </c>
      <c r="AL4" s="208">
        <v>0</v>
      </c>
      <c r="AM4" s="208">
        <v>0</v>
      </c>
      <c r="AN4" s="209">
        <v>0</v>
      </c>
      <c r="AP4" s="503" t="s">
        <v>171</v>
      </c>
      <c r="AQ4" s="504">
        <f>Irelandalltestshistwon</f>
        <v>324</v>
      </c>
      <c r="AS4" s="503" t="s">
        <v>171</v>
      </c>
      <c r="AT4" s="504">
        <f>IrelandRWChistwon</f>
        <v>24</v>
      </c>
    </row>
    <row r="5" spans="1:46" ht="14.95" customHeight="1" thickBot="1" x14ac:dyDescent="0.3">
      <c r="A5" s="183">
        <v>43884</v>
      </c>
      <c r="B5" s="174" t="s">
        <v>46</v>
      </c>
      <c r="C5" s="174" t="s">
        <v>30</v>
      </c>
      <c r="D5" s="174" t="s">
        <v>118</v>
      </c>
      <c r="E5" s="175" t="s">
        <v>3</v>
      </c>
      <c r="F5" s="175">
        <v>12</v>
      </c>
      <c r="G5" s="175">
        <v>24</v>
      </c>
      <c r="H5" s="175">
        <v>0</v>
      </c>
      <c r="I5" s="175">
        <v>0</v>
      </c>
      <c r="J5" s="175">
        <v>2</v>
      </c>
      <c r="K5" s="175">
        <v>1</v>
      </c>
      <c r="L5" s="175">
        <v>0</v>
      </c>
      <c r="M5" s="175">
        <v>0</v>
      </c>
      <c r="N5" s="175">
        <v>0</v>
      </c>
      <c r="O5" s="175">
        <v>0</v>
      </c>
      <c r="P5" s="175">
        <v>0</v>
      </c>
      <c r="Q5" s="175">
        <v>0</v>
      </c>
      <c r="R5" s="175">
        <v>3</v>
      </c>
      <c r="S5" s="176">
        <v>81476</v>
      </c>
      <c r="T5" s="219" t="s">
        <v>215</v>
      </c>
      <c r="U5" s="177" t="s">
        <v>141</v>
      </c>
      <c r="V5" s="176" t="s">
        <v>268</v>
      </c>
      <c r="W5" s="178" t="s">
        <v>122</v>
      </c>
      <c r="X5" s="179" t="s">
        <v>388</v>
      </c>
      <c r="Y5" s="180">
        <v>1</v>
      </c>
      <c r="Z5" s="180">
        <v>0</v>
      </c>
      <c r="AA5" s="180">
        <v>0</v>
      </c>
      <c r="AB5" s="181">
        <v>1</v>
      </c>
      <c r="AC5" s="180">
        <v>0</v>
      </c>
      <c r="AD5" s="180">
        <v>0</v>
      </c>
      <c r="AE5" s="180">
        <v>0</v>
      </c>
      <c r="AF5" s="181">
        <v>0</v>
      </c>
      <c r="AG5" s="180">
        <v>1</v>
      </c>
      <c r="AH5" s="180">
        <v>0</v>
      </c>
      <c r="AI5" s="180">
        <v>0</v>
      </c>
      <c r="AJ5" s="181">
        <v>1</v>
      </c>
      <c r="AK5" s="180">
        <v>0</v>
      </c>
      <c r="AL5" s="180">
        <v>0</v>
      </c>
      <c r="AM5" s="180">
        <v>0</v>
      </c>
      <c r="AN5" s="181">
        <v>0</v>
      </c>
      <c r="AP5" s="503" t="s">
        <v>177</v>
      </c>
      <c r="AQ5" s="504">
        <f>Irelandalltestshistdrawn</f>
        <v>32</v>
      </c>
      <c r="AS5" s="503" t="s">
        <v>177</v>
      </c>
      <c r="AT5" s="504">
        <f>IrelandRWChistdrawn</f>
        <v>0</v>
      </c>
    </row>
    <row r="6" spans="1:46" ht="14.95" customHeight="1" thickBot="1" x14ac:dyDescent="0.35">
      <c r="A6" s="191">
        <v>44128</v>
      </c>
      <c r="B6" s="192" t="s">
        <v>46</v>
      </c>
      <c r="C6" s="192" t="s">
        <v>33</v>
      </c>
      <c r="D6" s="192" t="s">
        <v>117</v>
      </c>
      <c r="E6" s="193" t="s">
        <v>1</v>
      </c>
      <c r="F6" s="193">
        <v>50</v>
      </c>
      <c r="G6" s="193">
        <v>17</v>
      </c>
      <c r="H6" s="193">
        <v>1</v>
      </c>
      <c r="I6" s="193">
        <v>0</v>
      </c>
      <c r="J6" s="193">
        <v>7</v>
      </c>
      <c r="K6" s="193">
        <v>6</v>
      </c>
      <c r="L6" s="193">
        <v>0</v>
      </c>
      <c r="M6" s="193">
        <v>1</v>
      </c>
      <c r="N6" s="193">
        <v>1</v>
      </c>
      <c r="O6" s="193">
        <v>0</v>
      </c>
      <c r="P6" s="193">
        <v>0</v>
      </c>
      <c r="Q6" s="193">
        <v>0</v>
      </c>
      <c r="R6" s="193">
        <v>2</v>
      </c>
      <c r="S6" s="205">
        <v>0</v>
      </c>
      <c r="T6" s="312" t="s">
        <v>390</v>
      </c>
      <c r="U6" s="206" t="s">
        <v>152</v>
      </c>
      <c r="V6" s="205" t="s">
        <v>157</v>
      </c>
      <c r="W6" s="194" t="s">
        <v>125</v>
      </c>
      <c r="X6" s="207" t="s">
        <v>392</v>
      </c>
      <c r="Y6" s="208">
        <v>1</v>
      </c>
      <c r="Z6" s="208">
        <v>1</v>
      </c>
      <c r="AA6" s="208">
        <v>0</v>
      </c>
      <c r="AB6" s="209">
        <v>0</v>
      </c>
      <c r="AC6" s="208">
        <v>1</v>
      </c>
      <c r="AD6" s="208">
        <v>1</v>
      </c>
      <c r="AE6" s="208">
        <v>0</v>
      </c>
      <c r="AF6" s="209">
        <v>0</v>
      </c>
      <c r="AG6" s="208">
        <v>0</v>
      </c>
      <c r="AH6" s="208">
        <v>0</v>
      </c>
      <c r="AI6" s="208">
        <v>0</v>
      </c>
      <c r="AJ6" s="208">
        <v>0</v>
      </c>
      <c r="AK6" s="208">
        <v>0</v>
      </c>
      <c r="AL6" s="208">
        <v>0</v>
      </c>
      <c r="AM6" s="208">
        <v>0</v>
      </c>
      <c r="AN6" s="208">
        <v>0</v>
      </c>
      <c r="AP6" s="503" t="s">
        <v>172</v>
      </c>
      <c r="AQ6" s="504">
        <f>Irelandalltestshistlost</f>
        <v>357</v>
      </c>
      <c r="AS6" s="503" t="s">
        <v>172</v>
      </c>
      <c r="AT6" s="504">
        <f>IrelandRWChistlost</f>
        <v>16</v>
      </c>
    </row>
    <row r="7" spans="1:46" ht="14.95" customHeight="1" thickBot="1" x14ac:dyDescent="0.3">
      <c r="A7" s="183">
        <v>44135</v>
      </c>
      <c r="B7" s="174" t="s">
        <v>46</v>
      </c>
      <c r="C7" s="174" t="s">
        <v>34</v>
      </c>
      <c r="D7" s="174" t="s">
        <v>115</v>
      </c>
      <c r="E7" s="175" t="s">
        <v>3</v>
      </c>
      <c r="F7" s="175">
        <v>27</v>
      </c>
      <c r="G7" s="175">
        <v>35</v>
      </c>
      <c r="H7" s="175">
        <v>0</v>
      </c>
      <c r="I7" s="175">
        <v>0</v>
      </c>
      <c r="J7" s="175">
        <v>3</v>
      </c>
      <c r="K7" s="175">
        <v>3</v>
      </c>
      <c r="L7" s="175">
        <v>0</v>
      </c>
      <c r="M7" s="175">
        <v>2</v>
      </c>
      <c r="N7" s="175">
        <v>1</v>
      </c>
      <c r="O7" s="175">
        <v>0</v>
      </c>
      <c r="P7" s="175">
        <v>1</v>
      </c>
      <c r="Q7" s="175">
        <v>0</v>
      </c>
      <c r="R7" s="175">
        <v>4</v>
      </c>
      <c r="S7" s="176">
        <v>0</v>
      </c>
      <c r="T7" s="219" t="s">
        <v>427</v>
      </c>
      <c r="U7" s="177" t="s">
        <v>124</v>
      </c>
      <c r="V7" s="176" t="s">
        <v>125</v>
      </c>
      <c r="W7" s="178" t="s">
        <v>152</v>
      </c>
      <c r="X7" s="179" t="s">
        <v>400</v>
      </c>
      <c r="Y7" s="180">
        <v>1</v>
      </c>
      <c r="Z7" s="180">
        <v>0</v>
      </c>
      <c r="AA7" s="180">
        <v>0</v>
      </c>
      <c r="AB7" s="181">
        <v>1</v>
      </c>
      <c r="AC7" s="180">
        <v>0</v>
      </c>
      <c r="AD7" s="180">
        <v>0</v>
      </c>
      <c r="AE7" s="180">
        <v>0</v>
      </c>
      <c r="AF7" s="181">
        <v>0</v>
      </c>
      <c r="AG7" s="180">
        <v>1</v>
      </c>
      <c r="AH7" s="180">
        <v>0</v>
      </c>
      <c r="AI7" s="180">
        <v>0</v>
      </c>
      <c r="AJ7" s="180">
        <v>1</v>
      </c>
      <c r="AK7" s="180">
        <v>0</v>
      </c>
      <c r="AL7" s="180">
        <v>0</v>
      </c>
      <c r="AM7" s="180">
        <v>0</v>
      </c>
      <c r="AN7" s="180">
        <v>0</v>
      </c>
      <c r="AP7" s="503" t="s">
        <v>178</v>
      </c>
      <c r="AQ7" s="504">
        <f>Irelandalltestshistptsscored</f>
        <v>10950</v>
      </c>
      <c r="AS7" s="503" t="s">
        <v>178</v>
      </c>
      <c r="AT7" s="504">
        <f>IrelandRWChistptsscored</f>
        <v>1108</v>
      </c>
    </row>
    <row r="8" spans="1:46" ht="14.95" customHeight="1" thickBot="1" x14ac:dyDescent="0.35">
      <c r="A8" s="191">
        <v>44148</v>
      </c>
      <c r="B8" s="192" t="s">
        <v>362</v>
      </c>
      <c r="C8" s="192" t="s">
        <v>32</v>
      </c>
      <c r="D8" s="192" t="s">
        <v>117</v>
      </c>
      <c r="E8" s="193" t="s">
        <v>1</v>
      </c>
      <c r="F8" s="193">
        <v>32</v>
      </c>
      <c r="G8" s="193">
        <v>9</v>
      </c>
      <c r="H8" s="193">
        <v>0</v>
      </c>
      <c r="I8" s="193">
        <v>0</v>
      </c>
      <c r="J8" s="193">
        <v>2</v>
      </c>
      <c r="K8" s="193">
        <v>2</v>
      </c>
      <c r="L8" s="193">
        <v>0</v>
      </c>
      <c r="M8" s="193">
        <v>6</v>
      </c>
      <c r="N8" s="193">
        <v>0</v>
      </c>
      <c r="O8" s="193">
        <v>0</v>
      </c>
      <c r="P8" s="193">
        <v>0</v>
      </c>
      <c r="Q8" s="193">
        <v>0</v>
      </c>
      <c r="R8" s="193">
        <v>0</v>
      </c>
      <c r="S8" s="205">
        <v>0</v>
      </c>
      <c r="T8" s="312" t="s">
        <v>453</v>
      </c>
      <c r="U8" s="206" t="s">
        <v>127</v>
      </c>
      <c r="V8" s="205" t="s">
        <v>122</v>
      </c>
      <c r="W8" s="205" t="s">
        <v>136</v>
      </c>
      <c r="X8" s="205" t="s">
        <v>388</v>
      </c>
      <c r="Y8" s="208">
        <v>1</v>
      </c>
      <c r="Z8" s="208">
        <v>1</v>
      </c>
      <c r="AA8" s="208">
        <v>0</v>
      </c>
      <c r="AB8" s="209">
        <v>0</v>
      </c>
      <c r="AC8" s="208">
        <v>1</v>
      </c>
      <c r="AD8" s="208">
        <v>1</v>
      </c>
      <c r="AE8" s="208">
        <v>0</v>
      </c>
      <c r="AF8" s="209">
        <v>0</v>
      </c>
      <c r="AG8" s="208">
        <v>0</v>
      </c>
      <c r="AH8" s="208">
        <v>0</v>
      </c>
      <c r="AI8" s="208">
        <v>0</v>
      </c>
      <c r="AJ8" s="209">
        <v>0</v>
      </c>
      <c r="AK8" s="208">
        <v>0</v>
      </c>
      <c r="AL8" s="208">
        <v>0</v>
      </c>
      <c r="AM8" s="208">
        <v>0</v>
      </c>
      <c r="AN8" s="209">
        <v>0</v>
      </c>
      <c r="AP8" s="503" t="s">
        <v>179</v>
      </c>
      <c r="AQ8" s="504">
        <f>Irelandalltestshistptsagainst</f>
        <v>10158</v>
      </c>
      <c r="AS8" s="503" t="s">
        <v>179</v>
      </c>
      <c r="AT8" s="504">
        <f>IrelandRWChistptsagainst</f>
        <v>735</v>
      </c>
    </row>
    <row r="9" spans="1:46" ht="14.95" customHeight="1" thickBot="1" x14ac:dyDescent="0.3">
      <c r="A9" s="183">
        <v>44156</v>
      </c>
      <c r="B9" s="174" t="s">
        <v>362</v>
      </c>
      <c r="C9" s="174" t="s">
        <v>30</v>
      </c>
      <c r="D9" s="174" t="s">
        <v>118</v>
      </c>
      <c r="E9" s="175" t="s">
        <v>3</v>
      </c>
      <c r="F9" s="175">
        <v>7</v>
      </c>
      <c r="G9" s="175">
        <v>18</v>
      </c>
      <c r="H9" s="175">
        <v>0</v>
      </c>
      <c r="I9" s="175">
        <v>0</v>
      </c>
      <c r="J9" s="175">
        <v>1</v>
      </c>
      <c r="K9" s="175">
        <v>1</v>
      </c>
      <c r="L9" s="175">
        <v>0</v>
      </c>
      <c r="M9" s="175">
        <v>0</v>
      </c>
      <c r="N9" s="175">
        <v>0</v>
      </c>
      <c r="O9" s="175">
        <v>0</v>
      </c>
      <c r="P9" s="175">
        <v>0</v>
      </c>
      <c r="Q9" s="175">
        <v>0</v>
      </c>
      <c r="R9" s="175">
        <v>2</v>
      </c>
      <c r="S9" s="176">
        <v>0</v>
      </c>
      <c r="T9" s="219" t="s">
        <v>479</v>
      </c>
      <c r="U9" s="177" t="s">
        <v>136</v>
      </c>
      <c r="V9" s="176" t="s">
        <v>140</v>
      </c>
      <c r="W9" s="176" t="s">
        <v>127</v>
      </c>
      <c r="X9" s="196" t="s">
        <v>388</v>
      </c>
      <c r="Y9" s="180">
        <v>1</v>
      </c>
      <c r="Z9" s="180">
        <v>0</v>
      </c>
      <c r="AA9" s="180">
        <v>0</v>
      </c>
      <c r="AB9" s="181">
        <v>1</v>
      </c>
      <c r="AC9" s="180">
        <v>0</v>
      </c>
      <c r="AD9" s="180">
        <v>0</v>
      </c>
      <c r="AE9" s="180">
        <v>0</v>
      </c>
      <c r="AF9" s="181">
        <v>0</v>
      </c>
      <c r="AG9" s="180">
        <v>1</v>
      </c>
      <c r="AH9" s="180">
        <v>0</v>
      </c>
      <c r="AI9" s="180">
        <v>0</v>
      </c>
      <c r="AJ9" s="181">
        <v>1</v>
      </c>
      <c r="AK9" s="180">
        <v>0</v>
      </c>
      <c r="AL9" s="180">
        <v>0</v>
      </c>
      <c r="AM9" s="180">
        <v>0</v>
      </c>
      <c r="AN9" s="181">
        <v>0</v>
      </c>
      <c r="AP9" s="503" t="s">
        <v>169</v>
      </c>
      <c r="AQ9" s="504">
        <f>Irelandalltestshisttriesscored</f>
        <v>1356</v>
      </c>
      <c r="AS9" s="503" t="s">
        <v>169</v>
      </c>
      <c r="AT9" s="504">
        <f>IrelandRWChisttriesscored</f>
        <v>134</v>
      </c>
    </row>
    <row r="10" spans="1:46" ht="14.95" customHeight="1" thickBot="1" x14ac:dyDescent="0.35">
      <c r="A10" s="191">
        <v>44164</v>
      </c>
      <c r="B10" s="192" t="s">
        <v>362</v>
      </c>
      <c r="C10" s="192" t="s">
        <v>38</v>
      </c>
      <c r="D10" s="192" t="s">
        <v>117</v>
      </c>
      <c r="E10" s="193" t="s">
        <v>1</v>
      </c>
      <c r="F10" s="193">
        <v>23</v>
      </c>
      <c r="G10" s="193">
        <v>10</v>
      </c>
      <c r="H10" s="193">
        <v>0</v>
      </c>
      <c r="I10" s="193">
        <v>0</v>
      </c>
      <c r="J10" s="193">
        <v>2</v>
      </c>
      <c r="K10" s="193">
        <v>2</v>
      </c>
      <c r="L10" s="193">
        <v>0</v>
      </c>
      <c r="M10" s="193">
        <v>3</v>
      </c>
      <c r="N10" s="193">
        <v>0</v>
      </c>
      <c r="O10" s="193">
        <v>0</v>
      </c>
      <c r="P10" s="193">
        <v>0</v>
      </c>
      <c r="Q10" s="193">
        <v>0</v>
      </c>
      <c r="R10" s="193">
        <v>1</v>
      </c>
      <c r="S10" s="205">
        <v>0</v>
      </c>
      <c r="T10" s="312" t="s">
        <v>495</v>
      </c>
      <c r="U10" s="206" t="s">
        <v>127</v>
      </c>
      <c r="V10" s="205" t="s">
        <v>389</v>
      </c>
      <c r="W10" s="206" t="s">
        <v>125</v>
      </c>
      <c r="X10" s="205" t="s">
        <v>248</v>
      </c>
      <c r="Y10" s="208">
        <v>1</v>
      </c>
      <c r="Z10" s="208">
        <v>1</v>
      </c>
      <c r="AA10" s="208">
        <v>0</v>
      </c>
      <c r="AB10" s="209">
        <v>0</v>
      </c>
      <c r="AC10" s="208">
        <v>1</v>
      </c>
      <c r="AD10" s="208">
        <v>1</v>
      </c>
      <c r="AE10" s="208">
        <v>0</v>
      </c>
      <c r="AF10" s="209">
        <v>0</v>
      </c>
      <c r="AG10" s="208">
        <v>0</v>
      </c>
      <c r="AH10" s="208">
        <v>0</v>
      </c>
      <c r="AI10" s="208">
        <v>0</v>
      </c>
      <c r="AJ10" s="209">
        <v>0</v>
      </c>
      <c r="AK10" s="208">
        <v>0</v>
      </c>
      <c r="AL10" s="208">
        <v>0</v>
      </c>
      <c r="AM10" s="208">
        <v>0</v>
      </c>
      <c r="AN10" s="209">
        <v>0</v>
      </c>
    </row>
    <row r="11" spans="1:46" ht="14.95" customHeight="1" thickBot="1" x14ac:dyDescent="0.35">
      <c r="A11" s="191">
        <v>44170</v>
      </c>
      <c r="B11" s="192" t="s">
        <v>362</v>
      </c>
      <c r="C11" s="192" t="s">
        <v>35</v>
      </c>
      <c r="D11" s="192" t="s">
        <v>117</v>
      </c>
      <c r="E11" s="193" t="s">
        <v>1</v>
      </c>
      <c r="F11" s="193">
        <v>31</v>
      </c>
      <c r="G11" s="193">
        <v>16</v>
      </c>
      <c r="H11" s="193" t="s">
        <v>107</v>
      </c>
      <c r="I11" s="193" t="s">
        <v>107</v>
      </c>
      <c r="J11" s="193">
        <v>3</v>
      </c>
      <c r="K11" s="193">
        <v>2</v>
      </c>
      <c r="L11" s="193">
        <v>0</v>
      </c>
      <c r="M11" s="193">
        <v>4</v>
      </c>
      <c r="N11" s="193">
        <v>0</v>
      </c>
      <c r="O11" s="193">
        <v>0</v>
      </c>
      <c r="P11" s="193" t="s">
        <v>107</v>
      </c>
      <c r="Q11" s="193" t="s">
        <v>107</v>
      </c>
      <c r="R11" s="193">
        <v>1</v>
      </c>
      <c r="S11" s="194">
        <v>0</v>
      </c>
      <c r="T11" s="363" t="s">
        <v>505</v>
      </c>
      <c r="U11" s="194" t="s">
        <v>152</v>
      </c>
      <c r="V11" s="194" t="s">
        <v>335</v>
      </c>
      <c r="W11" s="194" t="s">
        <v>122</v>
      </c>
      <c r="X11" s="207" t="s">
        <v>400</v>
      </c>
      <c r="Y11" s="208">
        <v>1</v>
      </c>
      <c r="Z11" s="208">
        <v>1</v>
      </c>
      <c r="AA11" s="208">
        <v>0</v>
      </c>
      <c r="AB11" s="209">
        <v>0</v>
      </c>
      <c r="AC11" s="208">
        <v>1</v>
      </c>
      <c r="AD11" s="208">
        <v>1</v>
      </c>
      <c r="AE11" s="208">
        <v>0</v>
      </c>
      <c r="AF11" s="209">
        <v>0</v>
      </c>
      <c r="AG11" s="208">
        <v>0</v>
      </c>
      <c r="AH11" s="208">
        <v>0</v>
      </c>
      <c r="AI11" s="208">
        <v>0</v>
      </c>
      <c r="AJ11" s="209">
        <v>0</v>
      </c>
      <c r="AK11" s="208">
        <v>0</v>
      </c>
      <c r="AL11" s="208">
        <v>0</v>
      </c>
      <c r="AM11" s="208">
        <v>0</v>
      </c>
      <c r="AN11" s="209">
        <v>0</v>
      </c>
    </row>
    <row r="12" spans="1:46" ht="14.95" thickBot="1" x14ac:dyDescent="0.3">
      <c r="A12" s="387"/>
      <c r="B12" s="388"/>
      <c r="C12" s="769" t="s">
        <v>110</v>
      </c>
      <c r="D12" s="770"/>
      <c r="E12" s="771"/>
      <c r="F12" s="386">
        <f>SUM(F3:F7)</f>
        <v>132</v>
      </c>
      <c r="G12" s="386">
        <f t="shared" ref="G12:R12" si="0">SUM(G3:G7)</f>
        <v>102</v>
      </c>
      <c r="H12" s="386">
        <f t="shared" si="0"/>
        <v>2</v>
      </c>
      <c r="I12" s="386">
        <f t="shared" si="0"/>
        <v>0</v>
      </c>
      <c r="J12" s="386">
        <f t="shared" si="0"/>
        <v>17</v>
      </c>
      <c r="K12" s="386">
        <f t="shared" si="0"/>
        <v>13</v>
      </c>
      <c r="L12" s="386">
        <f t="shared" si="0"/>
        <v>0</v>
      </c>
      <c r="M12" s="386">
        <f t="shared" si="0"/>
        <v>7</v>
      </c>
      <c r="N12" s="386">
        <f t="shared" si="0"/>
        <v>3</v>
      </c>
      <c r="O12" s="386">
        <f t="shared" si="0"/>
        <v>0</v>
      </c>
      <c r="P12" s="386">
        <f t="shared" si="0"/>
        <v>1</v>
      </c>
      <c r="Q12" s="386">
        <f t="shared" si="0"/>
        <v>1</v>
      </c>
      <c r="R12" s="386">
        <f t="shared" si="0"/>
        <v>11</v>
      </c>
      <c r="W12" s="383"/>
      <c r="X12" s="622" t="s">
        <v>110</v>
      </c>
      <c r="Y12" s="386">
        <f t="shared" ref="Y12:AN12" si="1">SUM(Y3:Y7)</f>
        <v>5</v>
      </c>
      <c r="Z12" s="386">
        <f t="shared" si="1"/>
        <v>3</v>
      </c>
      <c r="AA12" s="386">
        <f t="shared" si="1"/>
        <v>0</v>
      </c>
      <c r="AB12" s="386">
        <f t="shared" si="1"/>
        <v>2</v>
      </c>
      <c r="AC12" s="384">
        <f t="shared" si="1"/>
        <v>3</v>
      </c>
      <c r="AD12" s="384">
        <f t="shared" si="1"/>
        <v>3</v>
      </c>
      <c r="AE12" s="384">
        <f t="shared" si="1"/>
        <v>0</v>
      </c>
      <c r="AF12" s="384">
        <f t="shared" si="1"/>
        <v>0</v>
      </c>
      <c r="AG12" s="385">
        <f t="shared" si="1"/>
        <v>2</v>
      </c>
      <c r="AH12" s="385">
        <f t="shared" si="1"/>
        <v>0</v>
      </c>
      <c r="AI12" s="385">
        <f t="shared" si="1"/>
        <v>0</v>
      </c>
      <c r="AJ12" s="385">
        <f t="shared" si="1"/>
        <v>2</v>
      </c>
      <c r="AK12" s="386">
        <f t="shared" si="1"/>
        <v>0</v>
      </c>
      <c r="AL12" s="386">
        <f t="shared" si="1"/>
        <v>0</v>
      </c>
      <c r="AM12" s="386">
        <f t="shared" si="1"/>
        <v>0</v>
      </c>
      <c r="AN12" s="386">
        <f t="shared" si="1"/>
        <v>0</v>
      </c>
    </row>
    <row r="13" spans="1:46" ht="15.8" customHeight="1" thickBot="1" x14ac:dyDescent="0.3">
      <c r="A13" s="387"/>
      <c r="B13" s="388"/>
      <c r="C13" s="789" t="s">
        <v>372</v>
      </c>
      <c r="D13" s="790"/>
      <c r="E13" s="791"/>
      <c r="F13" s="613">
        <f>SUM(F8:F11)</f>
        <v>93</v>
      </c>
      <c r="G13" s="613">
        <f t="shared" ref="G13:R13" si="2">SUM(G8:G11)</f>
        <v>53</v>
      </c>
      <c r="H13" s="613">
        <f t="shared" si="2"/>
        <v>0</v>
      </c>
      <c r="I13" s="613">
        <f t="shared" si="2"/>
        <v>0</v>
      </c>
      <c r="J13" s="613">
        <f t="shared" si="2"/>
        <v>8</v>
      </c>
      <c r="K13" s="613">
        <f t="shared" si="2"/>
        <v>7</v>
      </c>
      <c r="L13" s="613">
        <f t="shared" si="2"/>
        <v>0</v>
      </c>
      <c r="M13" s="613">
        <f t="shared" si="2"/>
        <v>13</v>
      </c>
      <c r="N13" s="613">
        <f t="shared" si="2"/>
        <v>0</v>
      </c>
      <c r="O13" s="613">
        <f t="shared" si="2"/>
        <v>0</v>
      </c>
      <c r="P13" s="613">
        <f t="shared" si="2"/>
        <v>0</v>
      </c>
      <c r="Q13" s="613">
        <f t="shared" si="2"/>
        <v>0</v>
      </c>
      <c r="R13" s="613">
        <f t="shared" si="2"/>
        <v>4</v>
      </c>
      <c r="S13" s="614"/>
      <c r="T13" s="614"/>
      <c r="U13" s="614"/>
      <c r="V13" s="614"/>
      <c r="W13" s="615"/>
      <c r="X13" s="616" t="s">
        <v>372</v>
      </c>
      <c r="Y13" s="613">
        <f t="shared" ref="Y13:AN13" si="3">SUM(Y8:Y11)</f>
        <v>4</v>
      </c>
      <c r="Z13" s="613">
        <f t="shared" si="3"/>
        <v>3</v>
      </c>
      <c r="AA13" s="613">
        <f t="shared" si="3"/>
        <v>0</v>
      </c>
      <c r="AB13" s="613">
        <f t="shared" si="3"/>
        <v>1</v>
      </c>
      <c r="AC13" s="617">
        <f t="shared" si="3"/>
        <v>3</v>
      </c>
      <c r="AD13" s="617">
        <f t="shared" si="3"/>
        <v>3</v>
      </c>
      <c r="AE13" s="617">
        <f t="shared" si="3"/>
        <v>0</v>
      </c>
      <c r="AF13" s="617">
        <f t="shared" si="3"/>
        <v>0</v>
      </c>
      <c r="AG13" s="618">
        <f t="shared" si="3"/>
        <v>1</v>
      </c>
      <c r="AH13" s="618">
        <f t="shared" si="3"/>
        <v>0</v>
      </c>
      <c r="AI13" s="618">
        <f t="shared" si="3"/>
        <v>0</v>
      </c>
      <c r="AJ13" s="618">
        <f t="shared" si="3"/>
        <v>1</v>
      </c>
      <c r="AK13" s="613">
        <f t="shared" si="3"/>
        <v>0</v>
      </c>
      <c r="AL13" s="613">
        <f t="shared" si="3"/>
        <v>0</v>
      </c>
      <c r="AM13" s="613">
        <f t="shared" si="3"/>
        <v>0</v>
      </c>
      <c r="AN13" s="613">
        <f t="shared" si="3"/>
        <v>0</v>
      </c>
    </row>
    <row r="14" spans="1:46" ht="15.8" customHeight="1" thickBot="1" x14ac:dyDescent="0.3">
      <c r="A14" s="387"/>
      <c r="B14" s="388"/>
      <c r="C14" s="732" t="s">
        <v>108</v>
      </c>
      <c r="D14" s="733"/>
      <c r="E14" s="734"/>
      <c r="F14" s="552">
        <f t="shared" ref="F14:R14" si="4">SUM(F3:F11)</f>
        <v>225</v>
      </c>
      <c r="G14" s="552">
        <f t="shared" si="4"/>
        <v>155</v>
      </c>
      <c r="H14" s="552">
        <f t="shared" si="4"/>
        <v>2</v>
      </c>
      <c r="I14" s="552">
        <f t="shared" si="4"/>
        <v>0</v>
      </c>
      <c r="J14" s="552">
        <f t="shared" si="4"/>
        <v>25</v>
      </c>
      <c r="K14" s="552">
        <f t="shared" si="4"/>
        <v>20</v>
      </c>
      <c r="L14" s="552">
        <f t="shared" si="4"/>
        <v>0</v>
      </c>
      <c r="M14" s="552">
        <f t="shared" si="4"/>
        <v>20</v>
      </c>
      <c r="N14" s="552">
        <f t="shared" si="4"/>
        <v>3</v>
      </c>
      <c r="O14" s="552">
        <f t="shared" si="4"/>
        <v>0</v>
      </c>
      <c r="P14" s="552">
        <f t="shared" si="4"/>
        <v>1</v>
      </c>
      <c r="Q14" s="552">
        <f t="shared" si="4"/>
        <v>1</v>
      </c>
      <c r="R14" s="552">
        <f t="shared" si="4"/>
        <v>15</v>
      </c>
      <c r="S14" s="548"/>
      <c r="T14" s="548"/>
      <c r="U14" s="548"/>
      <c r="V14" s="548"/>
      <c r="W14" s="13"/>
      <c r="X14" s="596" t="s">
        <v>108</v>
      </c>
      <c r="Y14" s="552">
        <f t="shared" ref="Y14:AN14" si="5">SUM(Y3:Y11)</f>
        <v>9</v>
      </c>
      <c r="Z14" s="552">
        <f t="shared" si="5"/>
        <v>6</v>
      </c>
      <c r="AA14" s="552">
        <f t="shared" si="5"/>
        <v>0</v>
      </c>
      <c r="AB14" s="552">
        <f t="shared" si="5"/>
        <v>3</v>
      </c>
      <c r="AC14" s="550">
        <f t="shared" si="5"/>
        <v>6</v>
      </c>
      <c r="AD14" s="550">
        <f t="shared" si="5"/>
        <v>6</v>
      </c>
      <c r="AE14" s="550">
        <f t="shared" si="5"/>
        <v>0</v>
      </c>
      <c r="AF14" s="550">
        <f t="shared" si="5"/>
        <v>0</v>
      </c>
      <c r="AG14" s="551">
        <f t="shared" si="5"/>
        <v>3</v>
      </c>
      <c r="AH14" s="551">
        <f t="shared" si="5"/>
        <v>0</v>
      </c>
      <c r="AI14" s="551">
        <f t="shared" si="5"/>
        <v>0</v>
      </c>
      <c r="AJ14" s="551">
        <f t="shared" si="5"/>
        <v>3</v>
      </c>
      <c r="AK14" s="552">
        <f t="shared" si="5"/>
        <v>0</v>
      </c>
      <c r="AL14" s="552">
        <f t="shared" si="5"/>
        <v>0</v>
      </c>
      <c r="AM14" s="552">
        <f t="shared" si="5"/>
        <v>0</v>
      </c>
      <c r="AN14" s="552">
        <f t="shared" si="5"/>
        <v>0</v>
      </c>
    </row>
    <row r="15" spans="1:46" ht="15.8" customHeight="1" x14ac:dyDescent="0.25">
      <c r="A15" s="806" t="s">
        <v>226</v>
      </c>
      <c r="B15" s="807"/>
      <c r="C15" s="807"/>
      <c r="D15" s="807"/>
      <c r="E15" s="807"/>
      <c r="F15" s="807"/>
      <c r="G15" s="807"/>
      <c r="H15" s="807"/>
      <c r="I15" s="807"/>
      <c r="J15" s="807"/>
      <c r="K15" s="807"/>
      <c r="L15" s="807"/>
      <c r="M15" s="807"/>
      <c r="N15" s="807"/>
      <c r="O15" s="807"/>
      <c r="P15" s="807"/>
      <c r="Q15" s="807"/>
      <c r="R15" s="807"/>
      <c r="S15" s="807"/>
      <c r="T15" s="807"/>
      <c r="U15" s="807"/>
      <c r="V15" s="807"/>
      <c r="W15" s="807"/>
      <c r="X15" s="807"/>
      <c r="Y15" s="807"/>
      <c r="Z15" s="807"/>
      <c r="AA15" s="807"/>
      <c r="AB15" s="807"/>
      <c r="AC15" s="807"/>
      <c r="AD15" s="807"/>
      <c r="AE15" s="807"/>
      <c r="AF15" s="807"/>
      <c r="AG15" s="807"/>
      <c r="AH15" s="807"/>
      <c r="AI15" s="807"/>
      <c r="AJ15" s="807"/>
      <c r="AK15" s="807"/>
      <c r="AL15" s="807"/>
      <c r="AM15" s="807"/>
      <c r="AN15" s="807"/>
    </row>
    <row r="16" spans="1:46" ht="15.8" customHeight="1" x14ac:dyDescent="0.25">
      <c r="A16" s="762" t="s">
        <v>367</v>
      </c>
      <c r="B16" s="725"/>
      <c r="C16" s="725"/>
      <c r="D16" s="725"/>
      <c r="E16" s="725"/>
      <c r="F16" s="725"/>
      <c r="G16" s="725"/>
      <c r="H16" s="725"/>
      <c r="I16" s="725"/>
      <c r="J16" s="725"/>
      <c r="K16" s="725"/>
      <c r="L16" s="725"/>
      <c r="M16" s="725"/>
      <c r="N16" s="725"/>
      <c r="O16" s="725"/>
      <c r="P16" s="725"/>
      <c r="Q16" s="725"/>
      <c r="R16" s="725"/>
      <c r="S16" s="725"/>
      <c r="T16" s="725"/>
      <c r="U16" s="725"/>
      <c r="V16" s="725"/>
      <c r="W16" s="725"/>
      <c r="X16" s="725"/>
      <c r="Y16" s="725"/>
      <c r="Z16" s="725"/>
      <c r="AA16" s="725"/>
      <c r="AB16" s="725"/>
      <c r="AC16" s="725"/>
      <c r="AD16" s="725"/>
      <c r="AE16" s="725"/>
      <c r="AF16" s="725"/>
      <c r="AG16" s="725"/>
      <c r="AH16" s="725"/>
      <c r="AI16" s="725"/>
      <c r="AJ16" s="725"/>
      <c r="AK16" s="725"/>
      <c r="AL16" s="725"/>
      <c r="AM16" s="725"/>
      <c r="AN16" s="725"/>
    </row>
    <row r="17" spans="1:18" x14ac:dyDescent="0.25">
      <c r="A17" t="s">
        <v>133</v>
      </c>
      <c r="F17" s="14"/>
      <c r="G17" s="14"/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25">
      <c r="A18" t="s">
        <v>235</v>
      </c>
      <c r="F18" s="14"/>
      <c r="G18" s="14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x14ac:dyDescent="0.25">
      <c r="A19" t="s">
        <v>236</v>
      </c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x14ac:dyDescent="0.25">
      <c r="A20" s="156"/>
      <c r="B20" t="s">
        <v>44</v>
      </c>
    </row>
    <row r="21" spans="1:18" x14ac:dyDescent="0.25">
      <c r="A21" s="154"/>
      <c r="B21" t="s">
        <v>42</v>
      </c>
    </row>
    <row r="22" spans="1:18" x14ac:dyDescent="0.25">
      <c r="A22" s="155"/>
      <c r="B22" t="s">
        <v>43</v>
      </c>
    </row>
    <row r="23" spans="1:18" x14ac:dyDescent="0.25">
      <c r="A23" s="15" t="s">
        <v>28</v>
      </c>
    </row>
  </sheetData>
  <mergeCells count="15">
    <mergeCell ref="A16:AN16"/>
    <mergeCell ref="Y1:AB1"/>
    <mergeCell ref="AC1:AF1"/>
    <mergeCell ref="AG1:AJ1"/>
    <mergeCell ref="AK1:AN1"/>
    <mergeCell ref="P1:R1"/>
    <mergeCell ref="A1:C1"/>
    <mergeCell ref="E1:G1"/>
    <mergeCell ref="H1:I1"/>
    <mergeCell ref="J1:M1"/>
    <mergeCell ref="N1:O1"/>
    <mergeCell ref="C12:E12"/>
    <mergeCell ref="A15:AN15"/>
    <mergeCell ref="C13:E13"/>
    <mergeCell ref="C14:E1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T23"/>
  <sheetViews>
    <sheetView zoomScaleNormal="100" workbookViewId="0">
      <pane ySplit="2" topLeftCell="A3" activePane="bottomLeft" state="frozen"/>
      <selection pane="bottomLeft" activeCell="S21" sqref="S21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375" customWidth="1"/>
    <col min="5" max="18" width="3.625" customWidth="1"/>
    <col min="19" max="20" width="6.375" customWidth="1"/>
    <col min="21" max="21" width="20.375" bestFit="1" customWidth="1"/>
    <col min="22" max="22" width="24.125" bestFit="1" customWidth="1"/>
    <col min="23" max="23" width="21.125" bestFit="1" customWidth="1"/>
    <col min="24" max="24" width="30.5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850" t="s">
        <v>227</v>
      </c>
      <c r="B1" s="851"/>
      <c r="C1" s="851"/>
      <c r="D1" s="657"/>
      <c r="E1" s="852" t="s">
        <v>24</v>
      </c>
      <c r="F1" s="853"/>
      <c r="G1" s="854"/>
      <c r="H1" s="852" t="s">
        <v>23</v>
      </c>
      <c r="I1" s="854"/>
      <c r="J1" s="847" t="s">
        <v>6</v>
      </c>
      <c r="K1" s="848"/>
      <c r="L1" s="848"/>
      <c r="M1" s="849"/>
      <c r="N1" s="847" t="s">
        <v>7</v>
      </c>
      <c r="O1" s="849"/>
      <c r="P1" s="847" t="s">
        <v>25</v>
      </c>
      <c r="Q1" s="848"/>
      <c r="R1" s="849"/>
      <c r="S1" s="658" t="s">
        <v>8</v>
      </c>
      <c r="T1" s="658" t="s">
        <v>9</v>
      </c>
      <c r="U1" s="659" t="s">
        <v>10</v>
      </c>
      <c r="V1" s="660" t="s">
        <v>11</v>
      </c>
      <c r="W1" s="661" t="s">
        <v>26</v>
      </c>
      <c r="X1" s="662" t="s">
        <v>27</v>
      </c>
      <c r="Y1" s="844" t="s">
        <v>20</v>
      </c>
      <c r="Z1" s="845"/>
      <c r="AA1" s="845"/>
      <c r="AB1" s="846"/>
      <c r="AC1" s="844" t="s">
        <v>61</v>
      </c>
      <c r="AD1" s="845"/>
      <c r="AE1" s="845"/>
      <c r="AF1" s="846"/>
      <c r="AG1" s="844" t="s">
        <v>62</v>
      </c>
      <c r="AH1" s="845"/>
      <c r="AI1" s="845"/>
      <c r="AJ1" s="846"/>
      <c r="AK1" s="844" t="s">
        <v>63</v>
      </c>
      <c r="AL1" s="845"/>
      <c r="AM1" s="845"/>
      <c r="AN1" s="846"/>
      <c r="AP1" s="674" t="s">
        <v>189</v>
      </c>
      <c r="AQ1" s="520"/>
      <c r="AR1" s="520"/>
      <c r="AS1" s="674" t="s">
        <v>189</v>
      </c>
    </row>
    <row r="2" spans="1:46" ht="14.95" customHeight="1" thickBot="1" x14ac:dyDescent="0.3">
      <c r="A2" s="663" t="s">
        <v>19</v>
      </c>
      <c r="B2" s="664" t="s">
        <v>18</v>
      </c>
      <c r="C2" s="665" t="s">
        <v>17</v>
      </c>
      <c r="D2" s="665" t="s">
        <v>41</v>
      </c>
      <c r="E2" s="666" t="s">
        <v>16</v>
      </c>
      <c r="F2" s="666" t="s">
        <v>4</v>
      </c>
      <c r="G2" s="666" t="s">
        <v>5</v>
      </c>
      <c r="H2" s="667" t="s">
        <v>12</v>
      </c>
      <c r="I2" s="667" t="s">
        <v>3</v>
      </c>
      <c r="J2" s="667" t="s">
        <v>12</v>
      </c>
      <c r="K2" s="667" t="s">
        <v>13</v>
      </c>
      <c r="L2" s="667" t="s">
        <v>2</v>
      </c>
      <c r="M2" s="667" t="s">
        <v>14</v>
      </c>
      <c r="N2" s="667" t="s">
        <v>15</v>
      </c>
      <c r="O2" s="667" t="s">
        <v>16</v>
      </c>
      <c r="P2" s="667" t="s">
        <v>21</v>
      </c>
      <c r="Q2" s="667" t="s">
        <v>22</v>
      </c>
      <c r="R2" s="667" t="s">
        <v>12</v>
      </c>
      <c r="S2" s="668"/>
      <c r="T2" s="669"/>
      <c r="U2" s="670"/>
      <c r="V2" s="668"/>
      <c r="W2" s="671"/>
      <c r="X2" s="672"/>
      <c r="Y2" s="673" t="s">
        <v>0</v>
      </c>
      <c r="Z2" s="673" t="s">
        <v>1</v>
      </c>
      <c r="AA2" s="673" t="s">
        <v>2</v>
      </c>
      <c r="AB2" s="673" t="s">
        <v>3</v>
      </c>
      <c r="AC2" s="673" t="s">
        <v>0</v>
      </c>
      <c r="AD2" s="673" t="s">
        <v>1</v>
      </c>
      <c r="AE2" s="673" t="s">
        <v>2</v>
      </c>
      <c r="AF2" s="673" t="s">
        <v>3</v>
      </c>
      <c r="AG2" s="673" t="s">
        <v>0</v>
      </c>
      <c r="AH2" s="673" t="s">
        <v>1</v>
      </c>
      <c r="AI2" s="673" t="s">
        <v>2</v>
      </c>
      <c r="AJ2" s="673" t="s">
        <v>3</v>
      </c>
      <c r="AK2" s="673" t="s">
        <v>0</v>
      </c>
      <c r="AL2" s="673" t="s">
        <v>1</v>
      </c>
      <c r="AM2" s="673" t="s">
        <v>2</v>
      </c>
      <c r="AN2" s="673" t="s">
        <v>3</v>
      </c>
      <c r="AP2" s="481" t="s">
        <v>108</v>
      </c>
      <c r="AQ2" s="249" t="s">
        <v>58</v>
      </c>
      <c r="AS2" s="482" t="s">
        <v>167</v>
      </c>
      <c r="AT2" s="249" t="s">
        <v>58</v>
      </c>
    </row>
    <row r="3" spans="1:46" ht="14.95" customHeight="1" thickBot="1" x14ac:dyDescent="0.3">
      <c r="A3" s="183">
        <v>43862</v>
      </c>
      <c r="B3" s="204" t="s">
        <v>46</v>
      </c>
      <c r="C3" s="174" t="s">
        <v>32</v>
      </c>
      <c r="D3" s="174" t="s">
        <v>114</v>
      </c>
      <c r="E3" s="175" t="s">
        <v>3</v>
      </c>
      <c r="F3" s="175">
        <v>0</v>
      </c>
      <c r="G3" s="175">
        <v>42</v>
      </c>
      <c r="H3" s="175">
        <v>0</v>
      </c>
      <c r="I3" s="175">
        <v>0</v>
      </c>
      <c r="J3" s="175">
        <v>0</v>
      </c>
      <c r="K3" s="175">
        <v>0</v>
      </c>
      <c r="L3" s="175">
        <v>0</v>
      </c>
      <c r="M3" s="175">
        <v>0</v>
      </c>
      <c r="N3" s="175">
        <v>0</v>
      </c>
      <c r="O3" s="175">
        <v>0</v>
      </c>
      <c r="P3" s="175">
        <v>1</v>
      </c>
      <c r="Q3" s="175">
        <v>0</v>
      </c>
      <c r="R3" s="175">
        <v>5</v>
      </c>
      <c r="S3" s="176">
        <v>68582</v>
      </c>
      <c r="T3" s="219" t="s">
        <v>211</v>
      </c>
      <c r="U3" s="177" t="s">
        <v>125</v>
      </c>
      <c r="V3" s="176" t="s">
        <v>218</v>
      </c>
      <c r="W3" s="178" t="s">
        <v>152</v>
      </c>
      <c r="X3" s="179" t="s">
        <v>207</v>
      </c>
      <c r="Y3" s="180">
        <v>1</v>
      </c>
      <c r="Z3" s="180">
        <v>0</v>
      </c>
      <c r="AA3" s="180">
        <v>0</v>
      </c>
      <c r="AB3" s="181">
        <v>1</v>
      </c>
      <c r="AC3" s="180">
        <v>0</v>
      </c>
      <c r="AD3" s="180">
        <v>0</v>
      </c>
      <c r="AE3" s="180">
        <v>0</v>
      </c>
      <c r="AF3" s="181">
        <v>0</v>
      </c>
      <c r="AG3" s="180">
        <v>1</v>
      </c>
      <c r="AH3" s="180">
        <v>0</v>
      </c>
      <c r="AI3" s="180">
        <v>0</v>
      </c>
      <c r="AJ3" s="181">
        <v>1</v>
      </c>
      <c r="AK3" s="180">
        <v>0</v>
      </c>
      <c r="AL3" s="180">
        <v>0</v>
      </c>
      <c r="AM3" s="180">
        <v>0</v>
      </c>
      <c r="AN3" s="181">
        <v>0</v>
      </c>
      <c r="AP3" s="501" t="s">
        <v>170</v>
      </c>
      <c r="AQ3" s="502">
        <f>Italyalltestshistplayed</f>
        <v>514</v>
      </c>
      <c r="AS3" s="501" t="s">
        <v>170</v>
      </c>
      <c r="AT3" s="502">
        <f>ItalyRWChistplayed</f>
        <v>31</v>
      </c>
    </row>
    <row r="4" spans="1:46" ht="14.95" customHeight="1" thickBot="1" x14ac:dyDescent="0.3">
      <c r="A4" s="183">
        <v>43870</v>
      </c>
      <c r="B4" s="174" t="s">
        <v>46</v>
      </c>
      <c r="C4" s="174" t="s">
        <v>34</v>
      </c>
      <c r="D4" s="174" t="s">
        <v>115</v>
      </c>
      <c r="E4" s="175" t="s">
        <v>3</v>
      </c>
      <c r="F4" s="175">
        <v>22</v>
      </c>
      <c r="G4" s="175">
        <v>35</v>
      </c>
      <c r="H4" s="175">
        <v>0</v>
      </c>
      <c r="I4" s="175">
        <v>0</v>
      </c>
      <c r="J4" s="175">
        <v>3</v>
      </c>
      <c r="K4" s="175">
        <v>2</v>
      </c>
      <c r="L4" s="175">
        <v>0</v>
      </c>
      <c r="M4" s="175">
        <v>1</v>
      </c>
      <c r="N4" s="175">
        <v>0</v>
      </c>
      <c r="O4" s="175">
        <v>0</v>
      </c>
      <c r="P4" s="175">
        <v>1</v>
      </c>
      <c r="Q4" s="175">
        <v>0</v>
      </c>
      <c r="R4" s="175">
        <v>5</v>
      </c>
      <c r="S4" s="176">
        <v>55000</v>
      </c>
      <c r="T4" s="219" t="s">
        <v>261</v>
      </c>
      <c r="U4" s="177" t="s">
        <v>121</v>
      </c>
      <c r="V4" s="176" t="s">
        <v>242</v>
      </c>
      <c r="W4" s="178" t="s">
        <v>140</v>
      </c>
      <c r="X4" s="179" t="s">
        <v>130</v>
      </c>
      <c r="Y4" s="180">
        <v>1</v>
      </c>
      <c r="Z4" s="180">
        <v>0</v>
      </c>
      <c r="AA4" s="180">
        <v>0</v>
      </c>
      <c r="AB4" s="181">
        <v>1</v>
      </c>
      <c r="AC4" s="180">
        <v>0</v>
      </c>
      <c r="AD4" s="180">
        <v>0</v>
      </c>
      <c r="AE4" s="180">
        <v>0</v>
      </c>
      <c r="AF4" s="181">
        <v>0</v>
      </c>
      <c r="AG4" s="180">
        <v>1</v>
      </c>
      <c r="AH4" s="180">
        <v>0</v>
      </c>
      <c r="AI4" s="180">
        <v>0</v>
      </c>
      <c r="AJ4" s="181">
        <v>1</v>
      </c>
      <c r="AK4" s="180">
        <v>0</v>
      </c>
      <c r="AL4" s="180">
        <v>0</v>
      </c>
      <c r="AM4" s="180">
        <v>0</v>
      </c>
      <c r="AN4" s="181">
        <v>0</v>
      </c>
      <c r="AP4" s="503" t="s">
        <v>171</v>
      </c>
      <c r="AQ4" s="504">
        <f>Italyalltestshistwon</f>
        <v>187</v>
      </c>
      <c r="AS4" s="503" t="s">
        <v>171</v>
      </c>
      <c r="AT4" s="504">
        <f>ItalyRWChistwon</f>
        <v>13</v>
      </c>
    </row>
    <row r="5" spans="1:46" ht="14.95" customHeight="1" thickBot="1" x14ac:dyDescent="0.3">
      <c r="A5" s="191">
        <v>43883</v>
      </c>
      <c r="B5" s="192" t="s">
        <v>46</v>
      </c>
      <c r="C5" s="192" t="s">
        <v>35</v>
      </c>
      <c r="D5" s="192" t="s">
        <v>116</v>
      </c>
      <c r="E5" s="193" t="s">
        <v>3</v>
      </c>
      <c r="F5" s="193">
        <v>0</v>
      </c>
      <c r="G5" s="193">
        <v>17</v>
      </c>
      <c r="H5" s="193">
        <v>0</v>
      </c>
      <c r="I5" s="193">
        <v>0</v>
      </c>
      <c r="J5" s="193">
        <v>0</v>
      </c>
      <c r="K5" s="193">
        <v>0</v>
      </c>
      <c r="L5" s="193">
        <v>0</v>
      </c>
      <c r="M5" s="193">
        <v>0</v>
      </c>
      <c r="N5" s="193">
        <v>1</v>
      </c>
      <c r="O5" s="193">
        <v>0</v>
      </c>
      <c r="P5" s="193">
        <v>0</v>
      </c>
      <c r="Q5" s="193">
        <v>0</v>
      </c>
      <c r="R5" s="193">
        <v>3</v>
      </c>
      <c r="S5" s="205">
        <v>54349</v>
      </c>
      <c r="T5" s="218" t="s">
        <v>264</v>
      </c>
      <c r="U5" s="206" t="s">
        <v>150</v>
      </c>
      <c r="V5" s="205" t="s">
        <v>123</v>
      </c>
      <c r="W5" s="194" t="s">
        <v>127</v>
      </c>
      <c r="X5" s="207" t="s">
        <v>159</v>
      </c>
      <c r="Y5" s="208">
        <v>1</v>
      </c>
      <c r="Z5" s="208">
        <v>0</v>
      </c>
      <c r="AA5" s="208">
        <v>0</v>
      </c>
      <c r="AB5" s="209">
        <v>1</v>
      </c>
      <c r="AC5" s="208">
        <v>1</v>
      </c>
      <c r="AD5" s="208">
        <v>0</v>
      </c>
      <c r="AE5" s="208">
        <v>0</v>
      </c>
      <c r="AF5" s="209">
        <v>1</v>
      </c>
      <c r="AG5" s="208">
        <v>0</v>
      </c>
      <c r="AH5" s="208">
        <v>0</v>
      </c>
      <c r="AI5" s="208">
        <v>0</v>
      </c>
      <c r="AJ5" s="209">
        <v>0</v>
      </c>
      <c r="AK5" s="208">
        <v>0</v>
      </c>
      <c r="AL5" s="208">
        <v>0</v>
      </c>
      <c r="AM5" s="208">
        <v>0</v>
      </c>
      <c r="AN5" s="209">
        <v>0</v>
      </c>
      <c r="AP5" s="503" t="s">
        <v>177</v>
      </c>
      <c r="AQ5" s="504">
        <f>Italyalltestshistdrawn</f>
        <v>14</v>
      </c>
      <c r="AS5" s="503" t="s">
        <v>177</v>
      </c>
      <c r="AT5" s="504">
        <f>ItalyRWChistdrawn</f>
        <v>0</v>
      </c>
    </row>
    <row r="6" spans="1:46" ht="14.95" customHeight="1" thickBot="1" x14ac:dyDescent="0.3">
      <c r="A6" s="183">
        <v>44128</v>
      </c>
      <c r="B6" s="174" t="s">
        <v>46</v>
      </c>
      <c r="C6" s="174" t="s">
        <v>39</v>
      </c>
      <c r="D6" s="174" t="s">
        <v>117</v>
      </c>
      <c r="E6" s="175" t="s">
        <v>3</v>
      </c>
      <c r="F6" s="175">
        <v>17</v>
      </c>
      <c r="G6" s="175">
        <v>50</v>
      </c>
      <c r="H6" s="175">
        <v>0</v>
      </c>
      <c r="I6" s="175">
        <v>0</v>
      </c>
      <c r="J6" s="175">
        <v>2</v>
      </c>
      <c r="K6" s="175">
        <v>2</v>
      </c>
      <c r="L6" s="175">
        <v>0</v>
      </c>
      <c r="M6" s="175">
        <v>1</v>
      </c>
      <c r="N6" s="175">
        <v>0</v>
      </c>
      <c r="O6" s="175">
        <v>0</v>
      </c>
      <c r="P6" s="175">
        <v>1</v>
      </c>
      <c r="Q6" s="175">
        <v>0</v>
      </c>
      <c r="R6" s="175">
        <v>7</v>
      </c>
      <c r="S6" s="176">
        <v>0</v>
      </c>
      <c r="T6" s="219" t="s">
        <v>393</v>
      </c>
      <c r="U6" s="177" t="s">
        <v>152</v>
      </c>
      <c r="V6" s="176" t="s">
        <v>157</v>
      </c>
      <c r="W6" s="178" t="s">
        <v>125</v>
      </c>
      <c r="X6" s="179" t="s">
        <v>392</v>
      </c>
      <c r="Y6" s="180">
        <v>1</v>
      </c>
      <c r="Z6" s="180">
        <v>0</v>
      </c>
      <c r="AA6" s="180">
        <v>0</v>
      </c>
      <c r="AB6" s="181">
        <v>1</v>
      </c>
      <c r="AC6" s="180">
        <v>0</v>
      </c>
      <c r="AD6" s="180">
        <v>0</v>
      </c>
      <c r="AE6" s="180">
        <v>0</v>
      </c>
      <c r="AF6" s="181">
        <v>0</v>
      </c>
      <c r="AG6" s="180">
        <v>1</v>
      </c>
      <c r="AH6" s="180">
        <v>0</v>
      </c>
      <c r="AI6" s="180">
        <v>0</v>
      </c>
      <c r="AJ6" s="181">
        <v>1</v>
      </c>
      <c r="AK6" s="180">
        <v>0</v>
      </c>
      <c r="AL6" s="180">
        <v>0</v>
      </c>
      <c r="AM6" s="180">
        <v>0</v>
      </c>
      <c r="AN6" s="181">
        <v>0</v>
      </c>
      <c r="AP6" s="503" t="s">
        <v>172</v>
      </c>
      <c r="AQ6" s="504">
        <f>Italyalltestshistlost</f>
        <v>313</v>
      </c>
      <c r="AS6" s="503" t="s">
        <v>172</v>
      </c>
      <c r="AT6" s="504">
        <f>ItalyRWChistlost</f>
        <v>18</v>
      </c>
    </row>
    <row r="7" spans="1:46" ht="14.95" customHeight="1" thickBot="1" x14ac:dyDescent="0.3">
      <c r="A7" s="191">
        <v>44135</v>
      </c>
      <c r="B7" s="192" t="s">
        <v>46</v>
      </c>
      <c r="C7" s="192" t="s">
        <v>30</v>
      </c>
      <c r="D7" s="192" t="s">
        <v>116</v>
      </c>
      <c r="E7" s="193" t="s">
        <v>3</v>
      </c>
      <c r="F7" s="193">
        <v>5</v>
      </c>
      <c r="G7" s="193">
        <v>34</v>
      </c>
      <c r="H7" s="193">
        <v>0</v>
      </c>
      <c r="I7" s="193">
        <v>0</v>
      </c>
      <c r="J7" s="193">
        <v>1</v>
      </c>
      <c r="K7" s="193">
        <v>0</v>
      </c>
      <c r="L7" s="193">
        <v>0</v>
      </c>
      <c r="M7" s="193">
        <v>0</v>
      </c>
      <c r="N7" s="193">
        <v>1</v>
      </c>
      <c r="O7" s="193">
        <v>0</v>
      </c>
      <c r="P7" s="193">
        <v>1</v>
      </c>
      <c r="Q7" s="193">
        <v>0</v>
      </c>
      <c r="R7" s="193">
        <v>5</v>
      </c>
      <c r="S7" s="205">
        <v>0</v>
      </c>
      <c r="T7" s="218" t="s">
        <v>412</v>
      </c>
      <c r="U7" s="206" t="s">
        <v>136</v>
      </c>
      <c r="V7" s="205" t="s">
        <v>122</v>
      </c>
      <c r="W7" s="194" t="s">
        <v>388</v>
      </c>
      <c r="X7" s="207" t="s">
        <v>413</v>
      </c>
      <c r="Y7" s="208">
        <v>1</v>
      </c>
      <c r="Z7" s="208">
        <v>0</v>
      </c>
      <c r="AA7" s="208">
        <v>0</v>
      </c>
      <c r="AB7" s="209">
        <v>1</v>
      </c>
      <c r="AC7" s="208">
        <v>1</v>
      </c>
      <c r="AD7" s="208">
        <v>0</v>
      </c>
      <c r="AE7" s="208">
        <v>0</v>
      </c>
      <c r="AF7" s="209">
        <v>1</v>
      </c>
      <c r="AG7" s="208">
        <v>0</v>
      </c>
      <c r="AH7" s="208">
        <v>0</v>
      </c>
      <c r="AI7" s="208">
        <v>0</v>
      </c>
      <c r="AJ7" s="209">
        <v>0</v>
      </c>
      <c r="AK7" s="208">
        <v>0</v>
      </c>
      <c r="AL7" s="208">
        <v>0</v>
      </c>
      <c r="AM7" s="208">
        <v>0</v>
      </c>
      <c r="AN7" s="209">
        <v>0</v>
      </c>
      <c r="AP7" s="503" t="s">
        <v>178</v>
      </c>
      <c r="AQ7" s="504">
        <f>Italyalltestshistptsscored</f>
        <v>8817</v>
      </c>
      <c r="AS7" s="503" t="s">
        <v>178</v>
      </c>
      <c r="AT7" s="504">
        <f>ItalyRWChistptsscored</f>
        <v>627</v>
      </c>
    </row>
    <row r="8" spans="1:46" ht="14.95" customHeight="1" thickBot="1" x14ac:dyDescent="0.35">
      <c r="A8" s="191">
        <v>44149</v>
      </c>
      <c r="B8" s="192" t="s">
        <v>362</v>
      </c>
      <c r="C8" s="192" t="s">
        <v>35</v>
      </c>
      <c r="D8" s="192" t="s">
        <v>414</v>
      </c>
      <c r="E8" s="193" t="s">
        <v>3</v>
      </c>
      <c r="F8" s="193">
        <v>17</v>
      </c>
      <c r="G8" s="193">
        <v>28</v>
      </c>
      <c r="H8" s="193">
        <v>0</v>
      </c>
      <c r="I8" s="193">
        <v>0</v>
      </c>
      <c r="J8" s="193">
        <v>1</v>
      </c>
      <c r="K8" s="193">
        <v>0</v>
      </c>
      <c r="L8" s="193">
        <v>0</v>
      </c>
      <c r="M8" s="193">
        <v>4</v>
      </c>
      <c r="N8" s="193">
        <v>0</v>
      </c>
      <c r="O8" s="193">
        <v>0</v>
      </c>
      <c r="P8" s="193">
        <v>1</v>
      </c>
      <c r="Q8" s="193">
        <v>0</v>
      </c>
      <c r="R8" s="193">
        <v>4</v>
      </c>
      <c r="S8" s="205">
        <v>0</v>
      </c>
      <c r="T8" s="408" t="s">
        <v>458</v>
      </c>
      <c r="U8" s="206" t="s">
        <v>125</v>
      </c>
      <c r="V8" s="205" t="s">
        <v>124</v>
      </c>
      <c r="W8" s="205" t="s">
        <v>459</v>
      </c>
      <c r="X8" s="205" t="s">
        <v>392</v>
      </c>
      <c r="Y8" s="208">
        <v>1</v>
      </c>
      <c r="Z8" s="208">
        <v>0</v>
      </c>
      <c r="AA8" s="208">
        <v>0</v>
      </c>
      <c r="AB8" s="209">
        <v>1</v>
      </c>
      <c r="AC8" s="208">
        <v>1</v>
      </c>
      <c r="AD8" s="208">
        <v>0</v>
      </c>
      <c r="AE8" s="208">
        <v>0</v>
      </c>
      <c r="AF8" s="209">
        <v>1</v>
      </c>
      <c r="AG8" s="208">
        <v>0</v>
      </c>
      <c r="AH8" s="208">
        <v>0</v>
      </c>
      <c r="AI8" s="208">
        <v>0</v>
      </c>
      <c r="AJ8" s="209">
        <v>0</v>
      </c>
      <c r="AK8" s="208">
        <v>0</v>
      </c>
      <c r="AL8" s="208">
        <v>0</v>
      </c>
      <c r="AM8" s="208">
        <v>0</v>
      </c>
      <c r="AN8" s="209">
        <v>0</v>
      </c>
      <c r="AP8" s="503" t="s">
        <v>179</v>
      </c>
      <c r="AQ8" s="504">
        <f>Italyalltestshistptsagainst</f>
        <v>11991</v>
      </c>
      <c r="AS8" s="503" t="s">
        <v>179</v>
      </c>
      <c r="AT8" s="504">
        <f>ItalyRWChistptsagainst</f>
        <v>977</v>
      </c>
    </row>
    <row r="9" spans="1:46" ht="14.95" customHeight="1" thickBot="1" x14ac:dyDescent="0.35">
      <c r="A9" s="191">
        <v>44156</v>
      </c>
      <c r="B9" s="192" t="s">
        <v>362</v>
      </c>
      <c r="C9" s="192" t="s">
        <v>31</v>
      </c>
      <c r="D9" s="192" t="s">
        <v>420</v>
      </c>
      <c r="E9" s="193" t="s">
        <v>13</v>
      </c>
      <c r="F9" s="193">
        <v>28</v>
      </c>
      <c r="G9" s="193">
        <v>0</v>
      </c>
      <c r="H9" s="193">
        <v>1</v>
      </c>
      <c r="I9" s="193">
        <v>0</v>
      </c>
      <c r="J9" s="193">
        <v>4</v>
      </c>
      <c r="K9" s="193">
        <v>0</v>
      </c>
      <c r="L9" s="193">
        <v>0</v>
      </c>
      <c r="M9" s="193">
        <v>0</v>
      </c>
      <c r="N9" s="193"/>
      <c r="O9" s="193"/>
      <c r="P9" s="193"/>
      <c r="Q9" s="193"/>
      <c r="R9" s="193"/>
      <c r="S9" s="205" t="s">
        <v>504</v>
      </c>
      <c r="T9" s="312"/>
      <c r="U9" s="206"/>
      <c r="V9" s="205"/>
      <c r="W9" s="206"/>
      <c r="X9" s="205"/>
      <c r="Y9" s="208"/>
      <c r="Z9" s="208"/>
      <c r="AA9" s="208"/>
      <c r="AB9" s="209"/>
      <c r="AC9" s="208"/>
      <c r="AD9" s="208"/>
      <c r="AE9" s="208"/>
      <c r="AF9" s="209"/>
      <c r="AG9" s="208"/>
      <c r="AH9" s="208"/>
      <c r="AI9" s="208"/>
      <c r="AJ9" s="209"/>
      <c r="AK9" s="208"/>
      <c r="AL9" s="208"/>
      <c r="AM9" s="208"/>
      <c r="AN9" s="209"/>
      <c r="AP9" s="503" t="s">
        <v>169</v>
      </c>
      <c r="AQ9" s="504">
        <f>Italyalltestshisttriesscored</f>
        <v>983</v>
      </c>
      <c r="AS9" s="503" t="s">
        <v>169</v>
      </c>
      <c r="AT9" s="504">
        <f>ItalyRWChisttriesscored</f>
        <v>68</v>
      </c>
    </row>
    <row r="10" spans="1:46" ht="14.95" customHeight="1" thickBot="1" x14ac:dyDescent="0.3">
      <c r="A10" s="183">
        <v>44163</v>
      </c>
      <c r="B10" s="174" t="s">
        <v>362</v>
      </c>
      <c r="C10" s="174" t="s">
        <v>34</v>
      </c>
      <c r="D10" s="174" t="s">
        <v>115</v>
      </c>
      <c r="E10" s="175" t="s">
        <v>3</v>
      </c>
      <c r="F10" s="175">
        <v>5</v>
      </c>
      <c r="G10" s="175">
        <v>36</v>
      </c>
      <c r="H10" s="175">
        <v>0</v>
      </c>
      <c r="I10" s="175">
        <v>0</v>
      </c>
      <c r="J10" s="175">
        <v>1</v>
      </c>
      <c r="K10" s="175">
        <v>0</v>
      </c>
      <c r="L10" s="175">
        <v>0</v>
      </c>
      <c r="M10" s="175">
        <v>0</v>
      </c>
      <c r="N10" s="175">
        <v>1</v>
      </c>
      <c r="O10" s="175">
        <v>0</v>
      </c>
      <c r="P10" s="175">
        <v>1</v>
      </c>
      <c r="Q10" s="175">
        <v>0</v>
      </c>
      <c r="R10" s="175">
        <v>5</v>
      </c>
      <c r="S10" s="176">
        <v>0</v>
      </c>
      <c r="T10" s="219" t="s">
        <v>412</v>
      </c>
      <c r="U10" s="177" t="s">
        <v>140</v>
      </c>
      <c r="V10" s="176" t="s">
        <v>491</v>
      </c>
      <c r="W10" s="177" t="s">
        <v>152</v>
      </c>
      <c r="X10" s="176" t="s">
        <v>413</v>
      </c>
      <c r="Y10" s="180">
        <v>1</v>
      </c>
      <c r="Z10" s="180">
        <v>0</v>
      </c>
      <c r="AA10" s="180">
        <v>0</v>
      </c>
      <c r="AB10" s="181">
        <v>1</v>
      </c>
      <c r="AC10" s="180">
        <v>0</v>
      </c>
      <c r="AD10" s="180">
        <v>0</v>
      </c>
      <c r="AE10" s="180">
        <v>0</v>
      </c>
      <c r="AF10" s="181">
        <v>0</v>
      </c>
      <c r="AG10" s="180">
        <v>1</v>
      </c>
      <c r="AH10" s="180">
        <v>0</v>
      </c>
      <c r="AI10" s="180">
        <v>0</v>
      </c>
      <c r="AJ10" s="181">
        <v>1</v>
      </c>
      <c r="AK10" s="180">
        <v>0</v>
      </c>
      <c r="AL10" s="180">
        <v>0</v>
      </c>
      <c r="AM10" s="180">
        <v>0</v>
      </c>
      <c r="AN10" s="181">
        <v>0</v>
      </c>
    </row>
    <row r="11" spans="1:46" ht="14.95" customHeight="1" thickBot="1" x14ac:dyDescent="0.3">
      <c r="A11" s="183">
        <v>44170</v>
      </c>
      <c r="B11" s="174" t="s">
        <v>362</v>
      </c>
      <c r="C11" s="174" t="s">
        <v>32</v>
      </c>
      <c r="D11" s="174" t="s">
        <v>363</v>
      </c>
      <c r="E11" s="175" t="s">
        <v>3</v>
      </c>
      <c r="F11" s="175">
        <v>18</v>
      </c>
      <c r="G11" s="175">
        <v>38</v>
      </c>
      <c r="H11" s="175" t="s">
        <v>107</v>
      </c>
      <c r="I11" s="175" t="s">
        <v>107</v>
      </c>
      <c r="J11" s="175">
        <v>2</v>
      </c>
      <c r="K11" s="175">
        <v>1</v>
      </c>
      <c r="L11" s="175">
        <v>0</v>
      </c>
      <c r="M11" s="175">
        <v>2</v>
      </c>
      <c r="N11" s="175">
        <v>0</v>
      </c>
      <c r="O11" s="175">
        <v>0</v>
      </c>
      <c r="P11" s="175" t="s">
        <v>107</v>
      </c>
      <c r="Q11" s="175" t="s">
        <v>107</v>
      </c>
      <c r="R11" s="175">
        <v>5</v>
      </c>
      <c r="S11" s="178">
        <v>0</v>
      </c>
      <c r="T11" s="382" t="s">
        <v>509</v>
      </c>
      <c r="U11" s="178" t="s">
        <v>124</v>
      </c>
      <c r="V11" s="178" t="s">
        <v>136</v>
      </c>
      <c r="W11" s="178" t="s">
        <v>125</v>
      </c>
      <c r="X11" s="179" t="s">
        <v>388</v>
      </c>
      <c r="Y11" s="180">
        <v>1</v>
      </c>
      <c r="Z11" s="180">
        <v>0</v>
      </c>
      <c r="AA11" s="180">
        <v>0</v>
      </c>
      <c r="AB11" s="181">
        <v>1</v>
      </c>
      <c r="AC11" s="180">
        <v>0</v>
      </c>
      <c r="AD11" s="180">
        <v>0</v>
      </c>
      <c r="AE11" s="180">
        <v>0</v>
      </c>
      <c r="AF11" s="181">
        <v>0</v>
      </c>
      <c r="AG11" s="180">
        <v>1</v>
      </c>
      <c r="AH11" s="180">
        <v>0</v>
      </c>
      <c r="AI11" s="180">
        <v>0</v>
      </c>
      <c r="AJ11" s="181">
        <v>1</v>
      </c>
      <c r="AK11" s="180">
        <v>0</v>
      </c>
      <c r="AL11" s="180">
        <v>0</v>
      </c>
      <c r="AM11" s="180">
        <v>0</v>
      </c>
      <c r="AN11" s="181">
        <v>0</v>
      </c>
    </row>
    <row r="12" spans="1:46" ht="15.8" customHeight="1" thickBot="1" x14ac:dyDescent="0.3">
      <c r="A12" s="387"/>
      <c r="B12" s="388"/>
      <c r="C12" s="769" t="s">
        <v>110</v>
      </c>
      <c r="D12" s="770"/>
      <c r="E12" s="771"/>
      <c r="F12" s="386">
        <f>SUM(F3:F7)</f>
        <v>44</v>
      </c>
      <c r="G12" s="386">
        <f t="shared" ref="G12:R12" si="0">SUM(G3:G7)</f>
        <v>178</v>
      </c>
      <c r="H12" s="386">
        <f t="shared" si="0"/>
        <v>0</v>
      </c>
      <c r="I12" s="386">
        <f t="shared" si="0"/>
        <v>0</v>
      </c>
      <c r="J12" s="386">
        <f t="shared" si="0"/>
        <v>6</v>
      </c>
      <c r="K12" s="386">
        <f t="shared" si="0"/>
        <v>4</v>
      </c>
      <c r="L12" s="386">
        <f t="shared" si="0"/>
        <v>0</v>
      </c>
      <c r="M12" s="386">
        <f t="shared" si="0"/>
        <v>2</v>
      </c>
      <c r="N12" s="386">
        <f t="shared" si="0"/>
        <v>2</v>
      </c>
      <c r="O12" s="386">
        <f t="shared" si="0"/>
        <v>0</v>
      </c>
      <c r="P12" s="386">
        <f t="shared" si="0"/>
        <v>4</v>
      </c>
      <c r="Q12" s="386">
        <f t="shared" si="0"/>
        <v>0</v>
      </c>
      <c r="R12" s="386">
        <f t="shared" si="0"/>
        <v>25</v>
      </c>
      <c r="W12" s="383"/>
      <c r="X12" s="612" t="s">
        <v>110</v>
      </c>
      <c r="Y12" s="386">
        <f t="shared" ref="Y12:AN12" si="1">SUM(Y3:Y7)</f>
        <v>5</v>
      </c>
      <c r="Z12" s="386">
        <f t="shared" si="1"/>
        <v>0</v>
      </c>
      <c r="AA12" s="386">
        <f t="shared" si="1"/>
        <v>0</v>
      </c>
      <c r="AB12" s="386">
        <f t="shared" si="1"/>
        <v>5</v>
      </c>
      <c r="AC12" s="384">
        <f t="shared" si="1"/>
        <v>2</v>
      </c>
      <c r="AD12" s="384">
        <f t="shared" si="1"/>
        <v>0</v>
      </c>
      <c r="AE12" s="384">
        <f t="shared" si="1"/>
        <v>0</v>
      </c>
      <c r="AF12" s="384">
        <f t="shared" si="1"/>
        <v>2</v>
      </c>
      <c r="AG12" s="385">
        <f t="shared" si="1"/>
        <v>3</v>
      </c>
      <c r="AH12" s="385">
        <f t="shared" si="1"/>
        <v>0</v>
      </c>
      <c r="AI12" s="385">
        <f t="shared" si="1"/>
        <v>0</v>
      </c>
      <c r="AJ12" s="385">
        <f t="shared" si="1"/>
        <v>3</v>
      </c>
      <c r="AK12" s="386">
        <f t="shared" si="1"/>
        <v>0</v>
      </c>
      <c r="AL12" s="386">
        <f t="shared" si="1"/>
        <v>0</v>
      </c>
      <c r="AM12" s="386">
        <f t="shared" si="1"/>
        <v>0</v>
      </c>
      <c r="AN12" s="386">
        <f t="shared" si="1"/>
        <v>0</v>
      </c>
    </row>
    <row r="13" spans="1:46" ht="15.8" customHeight="1" thickBot="1" x14ac:dyDescent="0.3">
      <c r="A13" s="387"/>
      <c r="B13" s="388"/>
      <c r="C13" s="789" t="s">
        <v>372</v>
      </c>
      <c r="D13" s="790"/>
      <c r="E13" s="791"/>
      <c r="F13" s="613">
        <f>SUM(F8:F11)</f>
        <v>68</v>
      </c>
      <c r="G13" s="613">
        <f t="shared" ref="G13:R13" si="2">SUM(G8:G11)</f>
        <v>102</v>
      </c>
      <c r="H13" s="613">
        <f t="shared" si="2"/>
        <v>1</v>
      </c>
      <c r="I13" s="613">
        <f t="shared" si="2"/>
        <v>0</v>
      </c>
      <c r="J13" s="613">
        <f t="shared" si="2"/>
        <v>8</v>
      </c>
      <c r="K13" s="613">
        <f t="shared" si="2"/>
        <v>1</v>
      </c>
      <c r="L13" s="613">
        <f t="shared" si="2"/>
        <v>0</v>
      </c>
      <c r="M13" s="613">
        <f t="shared" si="2"/>
        <v>6</v>
      </c>
      <c r="N13" s="613">
        <f t="shared" si="2"/>
        <v>1</v>
      </c>
      <c r="O13" s="613">
        <f t="shared" si="2"/>
        <v>0</v>
      </c>
      <c r="P13" s="613">
        <f t="shared" si="2"/>
        <v>2</v>
      </c>
      <c r="Q13" s="613">
        <f t="shared" si="2"/>
        <v>0</v>
      </c>
      <c r="R13" s="613">
        <f t="shared" si="2"/>
        <v>14</v>
      </c>
      <c r="S13" s="614"/>
      <c r="T13" s="614"/>
      <c r="U13" s="614"/>
      <c r="V13" s="614"/>
      <c r="W13" s="615"/>
      <c r="X13" s="616" t="s">
        <v>372</v>
      </c>
      <c r="Y13" s="613">
        <v>4</v>
      </c>
      <c r="Z13" s="613">
        <f t="shared" ref="Z13:AN13" si="3">SUM(Z8:Z11)</f>
        <v>0</v>
      </c>
      <c r="AA13" s="613">
        <f t="shared" si="3"/>
        <v>0</v>
      </c>
      <c r="AB13" s="613">
        <v>3</v>
      </c>
      <c r="AC13" s="617">
        <v>2</v>
      </c>
      <c r="AD13" s="617">
        <f t="shared" si="3"/>
        <v>0</v>
      </c>
      <c r="AE13" s="617">
        <f t="shared" si="3"/>
        <v>0</v>
      </c>
      <c r="AF13" s="617">
        <v>1</v>
      </c>
      <c r="AG13" s="618">
        <f t="shared" si="3"/>
        <v>2</v>
      </c>
      <c r="AH13" s="618">
        <f t="shared" si="3"/>
        <v>0</v>
      </c>
      <c r="AI13" s="618">
        <f t="shared" si="3"/>
        <v>0</v>
      </c>
      <c r="AJ13" s="618">
        <f t="shared" si="3"/>
        <v>2</v>
      </c>
      <c r="AK13" s="613">
        <f t="shared" si="3"/>
        <v>0</v>
      </c>
      <c r="AL13" s="613">
        <f t="shared" si="3"/>
        <v>0</v>
      </c>
      <c r="AM13" s="613">
        <f t="shared" si="3"/>
        <v>0</v>
      </c>
      <c r="AN13" s="613">
        <f t="shared" si="3"/>
        <v>0</v>
      </c>
    </row>
    <row r="14" spans="1:46" ht="14.95" thickBot="1" x14ac:dyDescent="0.3">
      <c r="A14" s="387"/>
      <c r="B14" s="388"/>
      <c r="C14" s="732" t="s">
        <v>108</v>
      </c>
      <c r="D14" s="733"/>
      <c r="E14" s="734"/>
      <c r="F14" s="552">
        <f>SUM(F3+F4+F5+F6+F7+F8+F10+F11)</f>
        <v>84</v>
      </c>
      <c r="G14" s="552">
        <f t="shared" ref="G14:R14" si="4">SUM(G3+G4+G5+G6+G7+G8+G10+G11)</f>
        <v>280</v>
      </c>
      <c r="H14" s="552">
        <f>SUM(H3+H4+H5+H6+H7+H8+H10)</f>
        <v>0</v>
      </c>
      <c r="I14" s="552">
        <f>SUM(I3+I4+I5+I6+I7+I8+I10)</f>
        <v>0</v>
      </c>
      <c r="J14" s="552">
        <f t="shared" si="4"/>
        <v>10</v>
      </c>
      <c r="K14" s="552">
        <f t="shared" si="4"/>
        <v>5</v>
      </c>
      <c r="L14" s="552">
        <f t="shared" si="4"/>
        <v>0</v>
      </c>
      <c r="M14" s="552">
        <f t="shared" si="4"/>
        <v>8</v>
      </c>
      <c r="N14" s="552">
        <f t="shared" si="4"/>
        <v>3</v>
      </c>
      <c r="O14" s="552">
        <f t="shared" si="4"/>
        <v>0</v>
      </c>
      <c r="P14" s="552">
        <f>SUM(P3+P4+P5+P6+P7+P8+P10)</f>
        <v>6</v>
      </c>
      <c r="Q14" s="552">
        <f>SUM(Q3+Q4+Q5+Q6+Q7+Q8+Q10)</f>
        <v>0</v>
      </c>
      <c r="R14" s="552">
        <f t="shared" si="4"/>
        <v>39</v>
      </c>
      <c r="S14" s="548"/>
      <c r="T14" s="548"/>
      <c r="U14" s="548"/>
      <c r="V14" s="548"/>
      <c r="W14" s="13"/>
      <c r="X14" s="596" t="s">
        <v>108</v>
      </c>
      <c r="Y14" s="552">
        <f>SUM(Y3+Y4+Y5+Y6+Y7+Y8+Y10+Y11)</f>
        <v>8</v>
      </c>
      <c r="Z14" s="552">
        <f>SUM(Z3+Z4+Z5+Z6+Z7+Z8+Z10+Z11)</f>
        <v>0</v>
      </c>
      <c r="AA14" s="552">
        <f t="shared" ref="AA14:AN14" si="5">SUM(AA3+AA4+AA5+AA6+AA7+AA8+AA10+AA11)</f>
        <v>0</v>
      </c>
      <c r="AB14" s="552">
        <f t="shared" si="5"/>
        <v>8</v>
      </c>
      <c r="AC14" s="550">
        <f t="shared" si="5"/>
        <v>3</v>
      </c>
      <c r="AD14" s="550">
        <f t="shared" si="5"/>
        <v>0</v>
      </c>
      <c r="AE14" s="550">
        <f t="shared" si="5"/>
        <v>0</v>
      </c>
      <c r="AF14" s="550">
        <f t="shared" si="5"/>
        <v>3</v>
      </c>
      <c r="AG14" s="551">
        <f t="shared" si="5"/>
        <v>5</v>
      </c>
      <c r="AH14" s="551">
        <f t="shared" si="5"/>
        <v>0</v>
      </c>
      <c r="AI14" s="551">
        <f t="shared" si="5"/>
        <v>0</v>
      </c>
      <c r="AJ14" s="551">
        <f t="shared" si="5"/>
        <v>5</v>
      </c>
      <c r="AK14" s="552">
        <f t="shared" si="5"/>
        <v>0</v>
      </c>
      <c r="AL14" s="552">
        <f t="shared" si="5"/>
        <v>0</v>
      </c>
      <c r="AM14" s="552">
        <f t="shared" si="5"/>
        <v>0</v>
      </c>
      <c r="AN14" s="552">
        <f t="shared" si="5"/>
        <v>0</v>
      </c>
    </row>
    <row r="15" spans="1:46" ht="14.95" customHeight="1" x14ac:dyDescent="0.25">
      <c r="A15" s="806" t="s">
        <v>462</v>
      </c>
      <c r="B15" s="725"/>
      <c r="C15" s="725"/>
      <c r="D15" s="725"/>
      <c r="E15" s="725"/>
      <c r="F15" s="725"/>
      <c r="G15" s="725"/>
      <c r="H15" s="725"/>
      <c r="I15" s="725"/>
      <c r="J15" s="725"/>
      <c r="K15" s="725"/>
      <c r="L15" s="725"/>
      <c r="M15" s="725"/>
      <c r="N15" s="725"/>
      <c r="O15" s="725"/>
      <c r="P15" s="725"/>
      <c r="Q15" s="725"/>
      <c r="R15" s="725"/>
      <c r="S15" s="725"/>
      <c r="T15" s="725"/>
      <c r="U15" s="725"/>
      <c r="V15" s="725"/>
      <c r="W15" s="725"/>
      <c r="X15" s="725"/>
      <c r="Y15" s="725"/>
      <c r="Z15" s="725"/>
      <c r="AA15" s="725"/>
      <c r="AB15" s="725"/>
      <c r="AC15" s="725"/>
      <c r="AD15" s="725"/>
      <c r="AE15" s="725"/>
      <c r="AF15" s="725"/>
      <c r="AG15" s="725"/>
      <c r="AH15" s="725"/>
      <c r="AI15" s="725"/>
      <c r="AJ15" s="725"/>
      <c r="AK15" s="725"/>
      <c r="AL15" s="725"/>
      <c r="AM15" s="725"/>
      <c r="AN15" s="725"/>
      <c r="AO15" s="725"/>
    </row>
    <row r="16" spans="1:46" x14ac:dyDescent="0.25">
      <c r="A16" s="762" t="s">
        <v>367</v>
      </c>
      <c r="B16" s="725"/>
      <c r="C16" s="725"/>
      <c r="D16" s="725"/>
      <c r="E16" s="725"/>
      <c r="F16" s="725"/>
      <c r="G16" s="725"/>
      <c r="H16" s="725"/>
      <c r="I16" s="725"/>
      <c r="J16" s="725"/>
      <c r="K16" s="725"/>
      <c r="L16" s="725"/>
      <c r="M16" s="725"/>
      <c r="N16" s="725"/>
      <c r="O16" s="725"/>
      <c r="P16" s="725"/>
      <c r="Q16" s="725"/>
      <c r="R16" s="725"/>
      <c r="S16" s="725"/>
      <c r="T16" s="725"/>
      <c r="U16" s="725"/>
      <c r="V16" s="725"/>
      <c r="W16" s="725"/>
      <c r="X16" s="725"/>
      <c r="Y16" s="725"/>
      <c r="Z16" s="725"/>
      <c r="AA16" s="725"/>
      <c r="AB16" s="725"/>
      <c r="AC16" s="725"/>
      <c r="AD16" s="725"/>
      <c r="AE16" s="725"/>
      <c r="AF16" s="725"/>
      <c r="AG16" s="725"/>
      <c r="AH16" s="725"/>
      <c r="AI16" s="725"/>
      <c r="AJ16" s="725"/>
      <c r="AK16" s="725"/>
      <c r="AL16" s="725"/>
      <c r="AM16" s="725"/>
      <c r="AN16" s="725"/>
    </row>
    <row r="17" spans="1:18" x14ac:dyDescent="0.25">
      <c r="A17" t="s">
        <v>237</v>
      </c>
      <c r="F17" s="14"/>
      <c r="G17" s="14"/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25">
      <c r="A18" t="s">
        <v>415</v>
      </c>
      <c r="F18" s="14"/>
      <c r="G18" s="14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x14ac:dyDescent="0.25">
      <c r="A19" t="s">
        <v>492</v>
      </c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x14ac:dyDescent="0.25">
      <c r="A20" s="156"/>
      <c r="B20" t="s">
        <v>44</v>
      </c>
    </row>
    <row r="21" spans="1:18" x14ac:dyDescent="0.25">
      <c r="A21" s="154"/>
      <c r="B21" t="s">
        <v>42</v>
      </c>
    </row>
    <row r="22" spans="1:18" x14ac:dyDescent="0.25">
      <c r="A22" s="155"/>
      <c r="B22" t="s">
        <v>43</v>
      </c>
    </row>
    <row r="23" spans="1:18" x14ac:dyDescent="0.25">
      <c r="A23" s="634" t="s">
        <v>28</v>
      </c>
    </row>
  </sheetData>
  <mergeCells count="15">
    <mergeCell ref="A16:AN16"/>
    <mergeCell ref="Y1:AB1"/>
    <mergeCell ref="AC1:AF1"/>
    <mergeCell ref="AG1:AJ1"/>
    <mergeCell ref="AK1:AN1"/>
    <mergeCell ref="C12:E12"/>
    <mergeCell ref="C13:E13"/>
    <mergeCell ref="C14:E14"/>
    <mergeCell ref="P1:R1"/>
    <mergeCell ref="A1:C1"/>
    <mergeCell ref="E1:G1"/>
    <mergeCell ref="H1:I1"/>
    <mergeCell ref="J1:M1"/>
    <mergeCell ref="N1:O1"/>
    <mergeCell ref="A15:AO1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T22"/>
  <sheetViews>
    <sheetView zoomScaleNormal="100" workbookViewId="0">
      <pane ySplit="2" topLeftCell="A3" activePane="bottomLeft" state="frozen"/>
      <selection pane="bottomLeft" activeCell="A14" sqref="A14:AN14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875" bestFit="1" customWidth="1"/>
    <col min="5" max="18" width="3.625" customWidth="1"/>
    <col min="19" max="20" width="6.375" customWidth="1"/>
    <col min="21" max="21" width="30.5" customWidth="1"/>
    <col min="22" max="22" width="23.5" bestFit="1" customWidth="1"/>
    <col min="23" max="24" width="23.625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860" t="s">
        <v>375</v>
      </c>
      <c r="B1" s="861"/>
      <c r="C1" s="861"/>
      <c r="D1" s="253"/>
      <c r="E1" s="862" t="s">
        <v>24</v>
      </c>
      <c r="F1" s="863"/>
      <c r="G1" s="864"/>
      <c r="H1" s="862" t="s">
        <v>23</v>
      </c>
      <c r="I1" s="864"/>
      <c r="J1" s="857" t="s">
        <v>6</v>
      </c>
      <c r="K1" s="858"/>
      <c r="L1" s="858"/>
      <c r="M1" s="859"/>
      <c r="N1" s="857" t="s">
        <v>7</v>
      </c>
      <c r="O1" s="859"/>
      <c r="P1" s="857" t="s">
        <v>25</v>
      </c>
      <c r="Q1" s="858"/>
      <c r="R1" s="859"/>
      <c r="S1" s="561" t="s">
        <v>8</v>
      </c>
      <c r="T1" s="561" t="s">
        <v>9</v>
      </c>
      <c r="U1" s="255" t="s">
        <v>10</v>
      </c>
      <c r="V1" s="254" t="s">
        <v>11</v>
      </c>
      <c r="W1" s="256" t="s">
        <v>26</v>
      </c>
      <c r="X1" s="257" t="s">
        <v>27</v>
      </c>
      <c r="Y1" s="855" t="s">
        <v>20</v>
      </c>
      <c r="Z1" s="747"/>
      <c r="AA1" s="747"/>
      <c r="AB1" s="748"/>
      <c r="AC1" s="855" t="s">
        <v>61</v>
      </c>
      <c r="AD1" s="747"/>
      <c r="AE1" s="747"/>
      <c r="AF1" s="748"/>
      <c r="AG1" s="855" t="s">
        <v>62</v>
      </c>
      <c r="AH1" s="747"/>
      <c r="AI1" s="747"/>
      <c r="AJ1" s="748"/>
      <c r="AK1" s="855" t="s">
        <v>63</v>
      </c>
      <c r="AL1" s="747"/>
      <c r="AM1" s="747"/>
      <c r="AN1" s="748"/>
      <c r="AP1" s="528" t="s">
        <v>190</v>
      </c>
      <c r="AQ1" s="520"/>
      <c r="AR1" s="520"/>
      <c r="AS1" s="528" t="s">
        <v>190</v>
      </c>
    </row>
    <row r="2" spans="1:46" ht="14.95" customHeight="1" thickBot="1" x14ac:dyDescent="0.35">
      <c r="A2" s="258" t="s">
        <v>19</v>
      </c>
      <c r="B2" s="259" t="s">
        <v>18</v>
      </c>
      <c r="C2" s="260" t="s">
        <v>17</v>
      </c>
      <c r="D2" s="260" t="s">
        <v>41</v>
      </c>
      <c r="E2" s="261" t="s">
        <v>16</v>
      </c>
      <c r="F2" s="261" t="s">
        <v>4</v>
      </c>
      <c r="G2" s="261" t="s">
        <v>5</v>
      </c>
      <c r="H2" s="262" t="s">
        <v>12</v>
      </c>
      <c r="I2" s="262" t="s">
        <v>3</v>
      </c>
      <c r="J2" s="262" t="s">
        <v>12</v>
      </c>
      <c r="K2" s="262" t="s">
        <v>13</v>
      </c>
      <c r="L2" s="262" t="s">
        <v>2</v>
      </c>
      <c r="M2" s="262" t="s">
        <v>14</v>
      </c>
      <c r="N2" s="262" t="s">
        <v>15</v>
      </c>
      <c r="O2" s="262" t="s">
        <v>16</v>
      </c>
      <c r="P2" s="262" t="s">
        <v>21</v>
      </c>
      <c r="Q2" s="262" t="s">
        <v>22</v>
      </c>
      <c r="R2" s="262" t="s">
        <v>12</v>
      </c>
      <c r="S2" s="263"/>
      <c r="T2" s="264"/>
      <c r="U2" s="418"/>
      <c r="V2" s="263"/>
      <c r="W2" s="265"/>
      <c r="X2" s="266"/>
      <c r="Y2" s="553" t="s">
        <v>0</v>
      </c>
      <c r="Z2" s="553" t="s">
        <v>1</v>
      </c>
      <c r="AA2" s="553" t="s">
        <v>2</v>
      </c>
      <c r="AB2" s="553" t="s">
        <v>3</v>
      </c>
      <c r="AC2" s="553" t="s">
        <v>0</v>
      </c>
      <c r="AD2" s="553" t="s">
        <v>1</v>
      </c>
      <c r="AE2" s="553" t="s">
        <v>2</v>
      </c>
      <c r="AF2" s="553" t="s">
        <v>3</v>
      </c>
      <c r="AG2" s="553" t="s">
        <v>0</v>
      </c>
      <c r="AH2" s="553" t="s">
        <v>1</v>
      </c>
      <c r="AI2" s="553" t="s">
        <v>2</v>
      </c>
      <c r="AJ2" s="553" t="s">
        <v>3</v>
      </c>
      <c r="AK2" s="553" t="s">
        <v>0</v>
      </c>
      <c r="AL2" s="553" t="s">
        <v>1</v>
      </c>
      <c r="AM2" s="553" t="s">
        <v>2</v>
      </c>
      <c r="AN2" s="553" t="s">
        <v>3</v>
      </c>
      <c r="AP2" s="481" t="s">
        <v>108</v>
      </c>
      <c r="AQ2" s="249"/>
      <c r="AS2" s="482" t="s">
        <v>167</v>
      </c>
      <c r="AT2" s="249"/>
    </row>
    <row r="3" spans="1:46" ht="14.95" customHeight="1" thickBot="1" x14ac:dyDescent="0.35">
      <c r="A3" s="191"/>
      <c r="B3" s="212"/>
      <c r="C3" s="192"/>
      <c r="D3" s="192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205"/>
      <c r="T3" s="312"/>
      <c r="U3" s="206"/>
      <c r="V3" s="205"/>
      <c r="W3" s="194"/>
      <c r="X3" s="207"/>
      <c r="Y3" s="208"/>
      <c r="Z3" s="208"/>
      <c r="AA3" s="208"/>
      <c r="AB3" s="209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P3" s="501" t="s">
        <v>170</v>
      </c>
      <c r="AQ3" s="502">
        <f>Japanalltestshistplayed</f>
        <v>356</v>
      </c>
      <c r="AS3" s="501" t="s">
        <v>170</v>
      </c>
      <c r="AT3" s="502">
        <f>JapanRWChistplayed</f>
        <v>33</v>
      </c>
    </row>
    <row r="4" spans="1:46" ht="14.95" customHeight="1" thickBot="1" x14ac:dyDescent="0.35">
      <c r="A4" s="191"/>
      <c r="B4" s="212"/>
      <c r="C4" s="192"/>
      <c r="D4" s="192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205"/>
      <c r="T4" s="312"/>
      <c r="U4" s="206"/>
      <c r="V4" s="205"/>
      <c r="W4" s="194"/>
      <c r="X4" s="207"/>
      <c r="Y4" s="208"/>
      <c r="Z4" s="208"/>
      <c r="AA4" s="208"/>
      <c r="AB4" s="209"/>
      <c r="AC4" s="208"/>
      <c r="AD4" s="208"/>
      <c r="AE4" s="208"/>
      <c r="AF4" s="209"/>
      <c r="AG4" s="208"/>
      <c r="AH4" s="208"/>
      <c r="AI4" s="208"/>
      <c r="AJ4" s="209"/>
      <c r="AK4" s="208"/>
      <c r="AL4" s="208"/>
      <c r="AM4" s="208"/>
      <c r="AN4" s="209"/>
      <c r="AP4" s="503" t="s">
        <v>171</v>
      </c>
      <c r="AQ4" s="504">
        <f>Japanalltestshistwon</f>
        <v>157</v>
      </c>
      <c r="AS4" s="503" t="s">
        <v>171</v>
      </c>
      <c r="AT4" s="504">
        <f>JapanRWChistwon</f>
        <v>8</v>
      </c>
    </row>
    <row r="5" spans="1:46" ht="14.95" customHeight="1" thickBot="1" x14ac:dyDescent="0.35">
      <c r="A5" s="184"/>
      <c r="B5" s="431"/>
      <c r="C5" s="185"/>
      <c r="D5" s="185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99"/>
      <c r="T5" s="361"/>
      <c r="U5" s="200"/>
      <c r="V5" s="199"/>
      <c r="W5" s="187"/>
      <c r="X5" s="201"/>
      <c r="Y5" s="202"/>
      <c r="Z5" s="202"/>
      <c r="AA5" s="202"/>
      <c r="AB5" s="203"/>
      <c r="AC5" s="202"/>
      <c r="AD5" s="202"/>
      <c r="AE5" s="202"/>
      <c r="AF5" s="203"/>
      <c r="AG5" s="202"/>
      <c r="AH5" s="202"/>
      <c r="AI5" s="202"/>
      <c r="AJ5" s="203"/>
      <c r="AK5" s="202"/>
      <c r="AL5" s="202"/>
      <c r="AM5" s="202"/>
      <c r="AN5" s="203"/>
      <c r="AP5" s="503" t="s">
        <v>177</v>
      </c>
      <c r="AQ5" s="504">
        <f>Japanalltestshistdrawn</f>
        <v>10</v>
      </c>
      <c r="AS5" s="503" t="s">
        <v>177</v>
      </c>
      <c r="AT5" s="504">
        <f>JapanRWChistdrawn</f>
        <v>2</v>
      </c>
    </row>
    <row r="6" spans="1:46" ht="14.95" customHeight="1" thickBot="1" x14ac:dyDescent="0.3">
      <c r="A6" s="191"/>
      <c r="B6" s="192"/>
      <c r="C6" s="192"/>
      <c r="D6" s="192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205"/>
      <c r="T6" s="218"/>
      <c r="U6" s="206"/>
      <c r="V6" s="205"/>
      <c r="W6" s="194"/>
      <c r="X6" s="207"/>
      <c r="Y6" s="208"/>
      <c r="Z6" s="208"/>
      <c r="AA6" s="208"/>
      <c r="AB6" s="209"/>
      <c r="AC6" s="208"/>
      <c r="AD6" s="208"/>
      <c r="AE6" s="208"/>
      <c r="AF6" s="209"/>
      <c r="AG6" s="208"/>
      <c r="AH6" s="208"/>
      <c r="AI6" s="208"/>
      <c r="AJ6" s="209"/>
      <c r="AK6" s="208"/>
      <c r="AL6" s="208"/>
      <c r="AM6" s="208"/>
      <c r="AN6" s="209"/>
      <c r="AP6" s="503" t="s">
        <v>172</v>
      </c>
      <c r="AQ6" s="504">
        <f>Japanalltestshistlost</f>
        <v>189</v>
      </c>
      <c r="AS6" s="503" t="s">
        <v>172</v>
      </c>
      <c r="AT6" s="504">
        <f>JapanRWChistlost</f>
        <v>23</v>
      </c>
    </row>
    <row r="7" spans="1:46" ht="14.95" customHeight="1" thickBot="1" x14ac:dyDescent="0.35">
      <c r="A7" s="191"/>
      <c r="B7" s="192"/>
      <c r="C7" s="192"/>
      <c r="D7" s="192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205"/>
      <c r="T7" s="312"/>
      <c r="U7" s="206"/>
      <c r="V7" s="205"/>
      <c r="W7" s="194"/>
      <c r="X7" s="207"/>
      <c r="Y7" s="208"/>
      <c r="Z7" s="208"/>
      <c r="AA7" s="208"/>
      <c r="AB7" s="209"/>
      <c r="AC7" s="208"/>
      <c r="AD7" s="208"/>
      <c r="AE7" s="208"/>
      <c r="AF7" s="209"/>
      <c r="AG7" s="208"/>
      <c r="AH7" s="208"/>
      <c r="AI7" s="208"/>
      <c r="AJ7" s="209"/>
      <c r="AK7" s="208"/>
      <c r="AL7" s="208"/>
      <c r="AM7" s="208"/>
      <c r="AN7" s="209"/>
      <c r="AP7" s="503" t="s">
        <v>178</v>
      </c>
      <c r="AQ7" s="504">
        <f>Japanalltestshistptsscored</f>
        <v>10034</v>
      </c>
      <c r="AS7" s="503" t="s">
        <v>178</v>
      </c>
      <c r="AT7" s="504">
        <f>JapanRWChistptsscored</f>
        <v>644</v>
      </c>
    </row>
    <row r="8" spans="1:46" ht="14.95" customHeight="1" thickBot="1" x14ac:dyDescent="0.3">
      <c r="A8" s="191"/>
      <c r="B8" s="226"/>
      <c r="C8" s="192"/>
      <c r="D8" s="192"/>
      <c r="E8" s="193"/>
      <c r="F8" s="193"/>
      <c r="G8" s="227"/>
      <c r="H8" s="227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205"/>
      <c r="T8" s="218"/>
      <c r="U8" s="206"/>
      <c r="V8" s="205"/>
      <c r="W8" s="194"/>
      <c r="X8" s="207"/>
      <c r="Y8" s="208"/>
      <c r="Z8" s="208"/>
      <c r="AA8" s="208"/>
      <c r="AB8" s="209"/>
      <c r="AC8" s="208"/>
      <c r="AD8" s="208"/>
      <c r="AE8" s="208"/>
      <c r="AF8" s="209"/>
      <c r="AG8" s="208"/>
      <c r="AH8" s="208"/>
      <c r="AI8" s="208"/>
      <c r="AJ8" s="209"/>
      <c r="AK8" s="208"/>
      <c r="AL8" s="208"/>
      <c r="AM8" s="208"/>
      <c r="AN8" s="209"/>
      <c r="AP8" s="503" t="s">
        <v>179</v>
      </c>
      <c r="AQ8" s="504">
        <f>Japanalltestshistptscon</f>
        <v>9877</v>
      </c>
      <c r="AS8" s="503" t="s">
        <v>179</v>
      </c>
      <c r="AT8" s="504">
        <f>JapanRWChistptsagainst</f>
        <v>1347</v>
      </c>
    </row>
    <row r="9" spans="1:46" ht="14.95" customHeight="1" thickBot="1" x14ac:dyDescent="0.35">
      <c r="A9" s="191"/>
      <c r="B9" s="226"/>
      <c r="C9" s="192"/>
      <c r="D9" s="192"/>
      <c r="E9" s="193"/>
      <c r="F9" s="193"/>
      <c r="G9" s="227"/>
      <c r="H9" s="227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205"/>
      <c r="T9" s="312"/>
      <c r="U9" s="206"/>
      <c r="V9" s="205"/>
      <c r="W9" s="194"/>
      <c r="X9" s="207"/>
      <c r="Y9" s="208"/>
      <c r="Z9" s="208"/>
      <c r="AA9" s="208"/>
      <c r="AB9" s="209"/>
      <c r="AC9" s="208"/>
      <c r="AD9" s="208"/>
      <c r="AE9" s="208"/>
      <c r="AF9" s="209"/>
      <c r="AG9" s="208"/>
      <c r="AH9" s="208"/>
      <c r="AI9" s="208"/>
      <c r="AJ9" s="209"/>
      <c r="AK9" s="208"/>
      <c r="AL9" s="208"/>
      <c r="AM9" s="208"/>
      <c r="AN9" s="209"/>
      <c r="AP9" s="503" t="s">
        <v>169</v>
      </c>
      <c r="AQ9" s="504">
        <f>Japanalltestshisttriesscoredcorrect</f>
        <v>1371</v>
      </c>
      <c r="AS9" s="503" t="s">
        <v>169</v>
      </c>
      <c r="AT9" s="504">
        <f>JapanRWChisttriesscored</f>
        <v>73</v>
      </c>
    </row>
    <row r="10" spans="1:46" ht="14.95" customHeight="1" thickBot="1" x14ac:dyDescent="0.3">
      <c r="A10" s="191"/>
      <c r="B10" s="226"/>
      <c r="C10" s="192"/>
      <c r="D10" s="192"/>
      <c r="E10" s="193"/>
      <c r="F10" s="193"/>
      <c r="G10" s="227"/>
      <c r="H10" s="227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205"/>
      <c r="T10" s="419"/>
      <c r="U10" s="206"/>
      <c r="V10" s="205"/>
      <c r="W10" s="194"/>
      <c r="X10" s="207"/>
      <c r="Y10" s="208"/>
      <c r="Z10" s="208"/>
      <c r="AA10" s="208"/>
      <c r="AB10" s="209"/>
      <c r="AC10" s="208"/>
      <c r="AD10" s="208"/>
      <c r="AE10" s="208"/>
      <c r="AF10" s="209"/>
      <c r="AG10" s="208"/>
      <c r="AH10" s="208"/>
      <c r="AI10" s="208"/>
      <c r="AJ10" s="209"/>
      <c r="AK10" s="208"/>
      <c r="AL10" s="208"/>
      <c r="AM10" s="208"/>
      <c r="AN10" s="209"/>
    </row>
    <row r="11" spans="1:46" ht="14.95" customHeight="1" thickBot="1" x14ac:dyDescent="0.3">
      <c r="A11" s="191"/>
      <c r="B11" s="226"/>
      <c r="C11" s="192"/>
      <c r="D11" s="192"/>
      <c r="E11" s="193"/>
      <c r="F11" s="193"/>
      <c r="G11" s="227"/>
      <c r="H11" s="227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4"/>
      <c r="T11" s="364"/>
      <c r="U11" s="194"/>
      <c r="V11" s="194"/>
      <c r="W11" s="194"/>
      <c r="X11" s="207"/>
      <c r="Y11" s="208"/>
      <c r="Z11" s="208"/>
      <c r="AA11" s="208"/>
      <c r="AB11" s="209"/>
      <c r="AC11" s="208"/>
      <c r="AD11" s="208"/>
      <c r="AE11" s="208"/>
      <c r="AF11" s="209"/>
      <c r="AG11" s="208"/>
      <c r="AH11" s="208"/>
      <c r="AI11" s="208"/>
      <c r="AJ11" s="209"/>
      <c r="AK11" s="208"/>
      <c r="AL11" s="208"/>
      <c r="AM11" s="208"/>
      <c r="AN11" s="209"/>
    </row>
    <row r="12" spans="1:46" ht="14.95" thickBot="1" x14ac:dyDescent="0.3">
      <c r="A12" s="387"/>
      <c r="B12" s="388"/>
      <c r="C12" s="865" t="s">
        <v>184</v>
      </c>
      <c r="D12" s="866"/>
      <c r="E12" s="867"/>
      <c r="F12" s="389">
        <f>SUM(F3:F5)</f>
        <v>0</v>
      </c>
      <c r="G12" s="389">
        <f>SUM(G3:G5)</f>
        <v>0</v>
      </c>
      <c r="H12" s="389" t="s">
        <v>107</v>
      </c>
      <c r="I12" s="389" t="s">
        <v>107</v>
      </c>
      <c r="J12" s="389">
        <f t="shared" ref="J12:O12" si="0">SUM(J3:J5)</f>
        <v>0</v>
      </c>
      <c r="K12" s="389">
        <f t="shared" si="0"/>
        <v>0</v>
      </c>
      <c r="L12" s="389">
        <f t="shared" si="0"/>
        <v>0</v>
      </c>
      <c r="M12" s="389">
        <f t="shared" si="0"/>
        <v>0</v>
      </c>
      <c r="N12" s="389">
        <f t="shared" si="0"/>
        <v>0</v>
      </c>
      <c r="O12" s="389">
        <f t="shared" si="0"/>
        <v>0</v>
      </c>
      <c r="P12" s="389" t="s">
        <v>107</v>
      </c>
      <c r="Q12" s="389" t="s">
        <v>107</v>
      </c>
      <c r="R12" s="389">
        <f>SUM(R3:R5)</f>
        <v>0</v>
      </c>
      <c r="S12" s="390"/>
      <c r="T12" s="390"/>
      <c r="U12" s="390"/>
      <c r="V12" s="390"/>
      <c r="W12" s="391"/>
      <c r="X12" s="406" t="s">
        <v>184</v>
      </c>
      <c r="Y12" s="389">
        <f t="shared" ref="Y12:AN12" si="1">SUM(Y3:Y5)</f>
        <v>0</v>
      </c>
      <c r="Z12" s="389">
        <f t="shared" si="1"/>
        <v>0</v>
      </c>
      <c r="AA12" s="389">
        <f t="shared" si="1"/>
        <v>0</v>
      </c>
      <c r="AB12" s="389">
        <f t="shared" si="1"/>
        <v>0</v>
      </c>
      <c r="AC12" s="392">
        <f t="shared" si="1"/>
        <v>0</v>
      </c>
      <c r="AD12" s="392">
        <f t="shared" si="1"/>
        <v>0</v>
      </c>
      <c r="AE12" s="392">
        <f t="shared" si="1"/>
        <v>0</v>
      </c>
      <c r="AF12" s="392">
        <f t="shared" si="1"/>
        <v>0</v>
      </c>
      <c r="AG12" s="393">
        <f t="shared" si="1"/>
        <v>0</v>
      </c>
      <c r="AH12" s="393">
        <f t="shared" si="1"/>
        <v>0</v>
      </c>
      <c r="AI12" s="393">
        <f t="shared" si="1"/>
        <v>0</v>
      </c>
      <c r="AJ12" s="393">
        <f t="shared" si="1"/>
        <v>0</v>
      </c>
      <c r="AK12" s="394">
        <f t="shared" si="1"/>
        <v>0</v>
      </c>
      <c r="AL12" s="394">
        <f t="shared" si="1"/>
        <v>0</v>
      </c>
      <c r="AM12" s="394">
        <f t="shared" si="1"/>
        <v>0</v>
      </c>
      <c r="AN12" s="394">
        <f t="shared" si="1"/>
        <v>0</v>
      </c>
    </row>
    <row r="13" spans="1:46" ht="14.95" thickBot="1" x14ac:dyDescent="0.3">
      <c r="A13" s="387"/>
      <c r="B13" s="388"/>
      <c r="C13" s="868" t="s">
        <v>108</v>
      </c>
      <c r="D13" s="869"/>
      <c r="E13" s="870"/>
      <c r="F13" s="400">
        <f t="shared" ref="F13:R13" si="2">SUM(F3:F11)</f>
        <v>0</v>
      </c>
      <c r="G13" s="400">
        <f t="shared" si="2"/>
        <v>0</v>
      </c>
      <c r="H13" s="400">
        <f t="shared" si="2"/>
        <v>0</v>
      </c>
      <c r="I13" s="400">
        <f t="shared" si="2"/>
        <v>0</v>
      </c>
      <c r="J13" s="400">
        <f t="shared" si="2"/>
        <v>0</v>
      </c>
      <c r="K13" s="400">
        <f t="shared" si="2"/>
        <v>0</v>
      </c>
      <c r="L13" s="400">
        <f t="shared" si="2"/>
        <v>0</v>
      </c>
      <c r="M13" s="400">
        <f t="shared" si="2"/>
        <v>0</v>
      </c>
      <c r="N13" s="400">
        <f t="shared" si="2"/>
        <v>0</v>
      </c>
      <c r="O13" s="400">
        <f t="shared" si="2"/>
        <v>0</v>
      </c>
      <c r="P13" s="400">
        <f t="shared" si="2"/>
        <v>0</v>
      </c>
      <c r="Q13" s="400">
        <f t="shared" si="2"/>
        <v>0</v>
      </c>
      <c r="R13" s="400">
        <f t="shared" si="2"/>
        <v>0</v>
      </c>
      <c r="S13" s="401"/>
      <c r="T13" s="401"/>
      <c r="U13" s="401"/>
      <c r="V13" s="401"/>
      <c r="W13" s="402"/>
      <c r="X13" s="407" t="s">
        <v>108</v>
      </c>
      <c r="Y13" s="400">
        <f t="shared" ref="Y13:AN13" si="3">SUM(Y3:Y11)</f>
        <v>0</v>
      </c>
      <c r="Z13" s="400">
        <f t="shared" si="3"/>
        <v>0</v>
      </c>
      <c r="AA13" s="400">
        <f t="shared" si="3"/>
        <v>0</v>
      </c>
      <c r="AB13" s="400">
        <f t="shared" si="3"/>
        <v>0</v>
      </c>
      <c r="AC13" s="403">
        <f t="shared" si="3"/>
        <v>0</v>
      </c>
      <c r="AD13" s="403">
        <f t="shared" si="3"/>
        <v>0</v>
      </c>
      <c r="AE13" s="403">
        <f t="shared" si="3"/>
        <v>0</v>
      </c>
      <c r="AF13" s="403">
        <f t="shared" si="3"/>
        <v>0</v>
      </c>
      <c r="AG13" s="404">
        <f t="shared" si="3"/>
        <v>0</v>
      </c>
      <c r="AH13" s="404">
        <f t="shared" si="3"/>
        <v>0</v>
      </c>
      <c r="AI13" s="404">
        <f t="shared" si="3"/>
        <v>0</v>
      </c>
      <c r="AJ13" s="404">
        <f t="shared" si="3"/>
        <v>0</v>
      </c>
      <c r="AK13" s="405">
        <f t="shared" si="3"/>
        <v>0</v>
      </c>
      <c r="AL13" s="405">
        <f t="shared" si="3"/>
        <v>0</v>
      </c>
      <c r="AM13" s="405">
        <f t="shared" si="3"/>
        <v>0</v>
      </c>
      <c r="AN13" s="405">
        <f t="shared" si="3"/>
        <v>0</v>
      </c>
    </row>
    <row r="14" spans="1:46" x14ac:dyDescent="0.25">
      <c r="A14" s="871" t="s">
        <v>501</v>
      </c>
      <c r="B14" s="872"/>
      <c r="C14" s="872"/>
      <c r="D14" s="872"/>
      <c r="E14" s="872"/>
      <c r="F14" s="872"/>
      <c r="G14" s="872"/>
      <c r="H14" s="872"/>
      <c r="I14" s="872"/>
      <c r="J14" s="872"/>
      <c r="K14" s="872"/>
      <c r="L14" s="872"/>
      <c r="M14" s="872"/>
      <c r="N14" s="872"/>
      <c r="O14" s="872"/>
      <c r="P14" s="872"/>
      <c r="Q14" s="872"/>
      <c r="R14" s="872"/>
      <c r="S14" s="872"/>
      <c r="T14" s="872"/>
      <c r="U14" s="872"/>
      <c r="V14" s="872"/>
      <c r="W14" s="872"/>
      <c r="X14" s="872"/>
      <c r="Y14" s="872"/>
      <c r="Z14" s="872"/>
      <c r="AA14" s="872"/>
      <c r="AB14" s="872"/>
      <c r="AC14" s="872"/>
      <c r="AD14" s="872"/>
      <c r="AE14" s="872"/>
      <c r="AF14" s="872"/>
      <c r="AG14" s="872"/>
      <c r="AH14" s="872"/>
      <c r="AI14" s="872"/>
      <c r="AJ14" s="872"/>
      <c r="AK14" s="872"/>
      <c r="AL14" s="872"/>
      <c r="AM14" s="872"/>
      <c r="AN14" s="872"/>
    </row>
    <row r="15" spans="1:46" x14ac:dyDescent="0.25">
      <c r="F15" s="14"/>
      <c r="G15" s="14"/>
      <c r="H15" s="13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46" x14ac:dyDescent="0.25">
      <c r="A16" s="856"/>
      <c r="B16" s="725"/>
      <c r="C16" s="725"/>
      <c r="D16" s="725"/>
      <c r="E16" s="725"/>
      <c r="F16" s="725"/>
      <c r="G16" s="725"/>
      <c r="H16" s="725"/>
      <c r="I16" s="725"/>
      <c r="J16" s="725"/>
      <c r="K16" s="725"/>
      <c r="L16" s="725"/>
      <c r="M16" s="725"/>
      <c r="N16" s="725"/>
      <c r="O16" s="725"/>
      <c r="P16" s="725"/>
      <c r="Q16" s="725"/>
      <c r="R16" s="725"/>
    </row>
    <row r="17" spans="1:18" x14ac:dyDescent="0.25">
      <c r="F17" s="14"/>
      <c r="G17" s="14"/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25">
      <c r="F18" s="14"/>
      <c r="G18" s="14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x14ac:dyDescent="0.25">
      <c r="A19" s="156"/>
      <c r="B19" t="s">
        <v>44</v>
      </c>
    </row>
    <row r="20" spans="1:18" x14ac:dyDescent="0.25">
      <c r="A20" s="154"/>
      <c r="B20" t="s">
        <v>42</v>
      </c>
    </row>
    <row r="21" spans="1:18" x14ac:dyDescent="0.25">
      <c r="A21" s="155"/>
      <c r="B21" t="s">
        <v>43</v>
      </c>
    </row>
    <row r="22" spans="1:18" x14ac:dyDescent="0.25">
      <c r="A22" s="15" t="s">
        <v>28</v>
      </c>
    </row>
  </sheetData>
  <mergeCells count="14">
    <mergeCell ref="Y1:AB1"/>
    <mergeCell ref="AC1:AF1"/>
    <mergeCell ref="AG1:AJ1"/>
    <mergeCell ref="AK1:AN1"/>
    <mergeCell ref="A16:R16"/>
    <mergeCell ref="P1:R1"/>
    <mergeCell ref="A1:C1"/>
    <mergeCell ref="E1:G1"/>
    <mergeCell ref="H1:I1"/>
    <mergeCell ref="J1:M1"/>
    <mergeCell ref="N1:O1"/>
    <mergeCell ref="C12:E12"/>
    <mergeCell ref="C13:E13"/>
    <mergeCell ref="A14:AN1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T21"/>
  <sheetViews>
    <sheetView workbookViewId="0">
      <selection activeCell="R22" sqref="R22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625" customWidth="1"/>
    <col min="5" max="18" width="3.625" customWidth="1"/>
    <col min="19" max="20" width="6.375" customWidth="1"/>
    <col min="21" max="24" width="25.875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thickBot="1" x14ac:dyDescent="0.3">
      <c r="A1" s="880" t="s">
        <v>376</v>
      </c>
      <c r="B1" s="881"/>
      <c r="C1" s="881"/>
      <c r="D1" s="367"/>
      <c r="E1" s="882" t="s">
        <v>24</v>
      </c>
      <c r="F1" s="883"/>
      <c r="G1" s="884"/>
      <c r="H1" s="882" t="s">
        <v>23</v>
      </c>
      <c r="I1" s="884"/>
      <c r="J1" s="877" t="s">
        <v>6</v>
      </c>
      <c r="K1" s="878"/>
      <c r="L1" s="878"/>
      <c r="M1" s="879"/>
      <c r="N1" s="877" t="s">
        <v>7</v>
      </c>
      <c r="O1" s="879"/>
      <c r="P1" s="877" t="s">
        <v>25</v>
      </c>
      <c r="Q1" s="878"/>
      <c r="R1" s="879"/>
      <c r="S1" s="368" t="s">
        <v>8</v>
      </c>
      <c r="T1" s="368" t="s">
        <v>9</v>
      </c>
      <c r="U1" s="369" t="s">
        <v>10</v>
      </c>
      <c r="V1" s="368" t="s">
        <v>11</v>
      </c>
      <c r="W1" s="370" t="s">
        <v>26</v>
      </c>
      <c r="X1" s="371" t="s">
        <v>27</v>
      </c>
      <c r="Y1" s="873" t="s">
        <v>20</v>
      </c>
      <c r="Z1" s="747"/>
      <c r="AA1" s="747"/>
      <c r="AB1" s="748"/>
      <c r="AC1" s="873" t="s">
        <v>61</v>
      </c>
      <c r="AD1" s="747"/>
      <c r="AE1" s="747"/>
      <c r="AF1" s="748"/>
      <c r="AG1" s="873" t="s">
        <v>62</v>
      </c>
      <c r="AH1" s="747"/>
      <c r="AI1" s="747"/>
      <c r="AJ1" s="748"/>
      <c r="AK1" s="873" t="s">
        <v>63</v>
      </c>
      <c r="AL1" s="747"/>
      <c r="AM1" s="747"/>
      <c r="AN1" s="748"/>
      <c r="AP1" s="531" t="s">
        <v>191</v>
      </c>
      <c r="AQ1" s="520"/>
      <c r="AR1" s="520"/>
      <c r="AS1" s="531" t="s">
        <v>191</v>
      </c>
    </row>
    <row r="2" spans="1:46" ht="14.95" customHeight="1" thickBot="1" x14ac:dyDescent="0.3">
      <c r="A2" s="372" t="s">
        <v>19</v>
      </c>
      <c r="B2" s="373" t="s">
        <v>18</v>
      </c>
      <c r="C2" s="374" t="s">
        <v>17</v>
      </c>
      <c r="D2" s="375" t="s">
        <v>41</v>
      </c>
      <c r="E2" s="375" t="s">
        <v>16</v>
      </c>
      <c r="F2" s="375" t="s">
        <v>4</v>
      </c>
      <c r="G2" s="375" t="s">
        <v>5</v>
      </c>
      <c r="H2" s="376" t="s">
        <v>12</v>
      </c>
      <c r="I2" s="376" t="s">
        <v>3</v>
      </c>
      <c r="J2" s="376" t="s">
        <v>12</v>
      </c>
      <c r="K2" s="376" t="s">
        <v>13</v>
      </c>
      <c r="L2" s="376" t="s">
        <v>2</v>
      </c>
      <c r="M2" s="376" t="s">
        <v>14</v>
      </c>
      <c r="N2" s="376" t="s">
        <v>15</v>
      </c>
      <c r="O2" s="376" t="s">
        <v>16</v>
      </c>
      <c r="P2" s="376" t="s">
        <v>21</v>
      </c>
      <c r="Q2" s="376" t="s">
        <v>22</v>
      </c>
      <c r="R2" s="376" t="s">
        <v>12</v>
      </c>
      <c r="S2" s="377"/>
      <c r="T2" s="378"/>
      <c r="U2" s="379"/>
      <c r="V2" s="377"/>
      <c r="W2" s="380"/>
      <c r="X2" s="381"/>
      <c r="Y2" s="563" t="s">
        <v>0</v>
      </c>
      <c r="Z2" s="563" t="s">
        <v>1</v>
      </c>
      <c r="AA2" s="563" t="s">
        <v>2</v>
      </c>
      <c r="AB2" s="563" t="s">
        <v>3</v>
      </c>
      <c r="AC2" s="563" t="s">
        <v>0</v>
      </c>
      <c r="AD2" s="563" t="s">
        <v>1</v>
      </c>
      <c r="AE2" s="563" t="s">
        <v>2</v>
      </c>
      <c r="AF2" s="563" t="s">
        <v>3</v>
      </c>
      <c r="AG2" s="563" t="s">
        <v>0</v>
      </c>
      <c r="AH2" s="563" t="s">
        <v>1</v>
      </c>
      <c r="AI2" s="563" t="s">
        <v>2</v>
      </c>
      <c r="AJ2" s="563" t="s">
        <v>3</v>
      </c>
      <c r="AK2" s="563" t="s">
        <v>0</v>
      </c>
      <c r="AL2" s="563" t="s">
        <v>1</v>
      </c>
      <c r="AM2" s="563" t="s">
        <v>2</v>
      </c>
      <c r="AN2" s="563" t="s">
        <v>3</v>
      </c>
      <c r="AP2" s="481" t="s">
        <v>108</v>
      </c>
      <c r="AQ2" s="249" t="s">
        <v>221</v>
      </c>
      <c r="AS2" s="482" t="s">
        <v>167</v>
      </c>
      <c r="AT2" s="249" t="s">
        <v>221</v>
      </c>
    </row>
    <row r="3" spans="1:46" ht="14.95" customHeight="1" thickBot="1" x14ac:dyDescent="0.35">
      <c r="A3" s="183"/>
      <c r="B3" s="174"/>
      <c r="C3" s="174"/>
      <c r="D3" s="174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6"/>
      <c r="T3" s="346"/>
      <c r="U3" s="177"/>
      <c r="V3" s="286"/>
      <c r="W3" s="287"/>
      <c r="X3" s="288"/>
      <c r="Y3" s="180"/>
      <c r="Z3" s="180"/>
      <c r="AA3" s="180"/>
      <c r="AB3" s="181"/>
      <c r="AC3" s="180"/>
      <c r="AD3" s="180"/>
      <c r="AE3" s="180"/>
      <c r="AF3" s="181"/>
      <c r="AG3" s="180"/>
      <c r="AH3" s="180"/>
      <c r="AI3" s="180"/>
      <c r="AJ3" s="181"/>
      <c r="AK3" s="180"/>
      <c r="AL3" s="180"/>
      <c r="AM3" s="180"/>
      <c r="AN3" s="181"/>
      <c r="AP3" s="501" t="s">
        <v>170</v>
      </c>
      <c r="AQ3" s="502">
        <f>Namibiaalltestshistplayed</f>
        <v>157</v>
      </c>
      <c r="AS3" s="501" t="s">
        <v>170</v>
      </c>
      <c r="AT3" s="502">
        <f>NamibiaRWChistplayed</f>
        <v>23</v>
      </c>
    </row>
    <row r="4" spans="1:46" ht="14.95" thickBot="1" x14ac:dyDescent="0.3">
      <c r="A4" s="184"/>
      <c r="B4" s="185"/>
      <c r="C4" s="185"/>
      <c r="D4" s="185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99"/>
      <c r="T4" s="356"/>
      <c r="U4" s="200"/>
      <c r="V4" s="199"/>
      <c r="W4" s="187"/>
      <c r="X4" s="201"/>
      <c r="Y4" s="202"/>
      <c r="Z4" s="202"/>
      <c r="AA4" s="202"/>
      <c r="AB4" s="203"/>
      <c r="AC4" s="202"/>
      <c r="AD4" s="202"/>
      <c r="AE4" s="202"/>
      <c r="AF4" s="203"/>
      <c r="AG4" s="202"/>
      <c r="AH4" s="202"/>
      <c r="AI4" s="202"/>
      <c r="AJ4" s="203"/>
      <c r="AK4" s="202"/>
      <c r="AL4" s="202"/>
      <c r="AM4" s="202"/>
      <c r="AN4" s="203"/>
      <c r="AP4" s="503" t="s">
        <v>171</v>
      </c>
      <c r="AQ4" s="504">
        <f>Namibiaalltestshistwon</f>
        <v>89</v>
      </c>
      <c r="AS4" s="503" t="s">
        <v>171</v>
      </c>
      <c r="AT4" s="504">
        <f>NamibiaRWChistwon</f>
        <v>0</v>
      </c>
    </row>
    <row r="5" spans="1:46" ht="14.95" thickBot="1" x14ac:dyDescent="0.3">
      <c r="A5" s="184"/>
      <c r="B5" s="185"/>
      <c r="C5" s="185"/>
      <c r="D5" s="185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99"/>
      <c r="T5" s="356"/>
      <c r="U5" s="200"/>
      <c r="V5" s="199"/>
      <c r="W5" s="200"/>
      <c r="X5" s="187"/>
      <c r="Y5" s="202"/>
      <c r="Z5" s="202"/>
      <c r="AA5" s="202"/>
      <c r="AB5" s="203"/>
      <c r="AC5" s="202"/>
      <c r="AD5" s="202"/>
      <c r="AE5" s="202"/>
      <c r="AF5" s="203"/>
      <c r="AG5" s="202"/>
      <c r="AH5" s="202"/>
      <c r="AI5" s="202"/>
      <c r="AJ5" s="203"/>
      <c r="AK5" s="202"/>
      <c r="AL5" s="202"/>
      <c r="AM5" s="202"/>
      <c r="AN5" s="203"/>
      <c r="AP5" s="503" t="s">
        <v>177</v>
      </c>
      <c r="AQ5" s="504">
        <f>Namibiaalltestshistdrawn</f>
        <v>2</v>
      </c>
      <c r="AS5" s="503" t="s">
        <v>177</v>
      </c>
      <c r="AT5" s="504">
        <f>NamibiaRWChistdrawn</f>
        <v>0</v>
      </c>
    </row>
    <row r="6" spans="1:46" ht="14.95" thickBot="1" x14ac:dyDescent="0.3">
      <c r="A6" s="473"/>
      <c r="B6" s="440"/>
      <c r="C6" s="440"/>
      <c r="D6" s="440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99"/>
      <c r="T6" s="356"/>
      <c r="U6" s="200"/>
      <c r="V6" s="199"/>
      <c r="W6" s="187"/>
      <c r="X6" s="201"/>
      <c r="Y6" s="202"/>
      <c r="Z6" s="202"/>
      <c r="AA6" s="202"/>
      <c r="AB6" s="203"/>
      <c r="AC6" s="202"/>
      <c r="AD6" s="202"/>
      <c r="AE6" s="202"/>
      <c r="AF6" s="203"/>
      <c r="AG6" s="202"/>
      <c r="AH6" s="202"/>
      <c r="AI6" s="202"/>
      <c r="AJ6" s="203"/>
      <c r="AK6" s="202"/>
      <c r="AL6" s="202"/>
      <c r="AM6" s="202"/>
      <c r="AN6" s="203"/>
      <c r="AP6" s="503" t="s">
        <v>172</v>
      </c>
      <c r="AQ6" s="504">
        <f>Namibiaalltestshistlost</f>
        <v>66</v>
      </c>
      <c r="AS6" s="503" t="s">
        <v>172</v>
      </c>
      <c r="AT6" s="504">
        <f>NamibiaRWChistlost</f>
        <v>22</v>
      </c>
    </row>
    <row r="7" spans="1:46" ht="14.95" customHeight="1" thickBot="1" x14ac:dyDescent="0.3">
      <c r="A7" s="473"/>
      <c r="B7" s="440"/>
      <c r="C7" s="440"/>
      <c r="D7" s="440"/>
      <c r="E7" s="474"/>
      <c r="F7" s="474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7"/>
      <c r="T7" s="562"/>
      <c r="U7" s="187"/>
      <c r="V7" s="187"/>
      <c r="W7" s="187"/>
      <c r="X7" s="187"/>
      <c r="Y7" s="202"/>
      <c r="Z7" s="202"/>
      <c r="AA7" s="202"/>
      <c r="AB7" s="203"/>
      <c r="AC7" s="202"/>
      <c r="AD7" s="202"/>
      <c r="AE7" s="202"/>
      <c r="AF7" s="203"/>
      <c r="AG7" s="202"/>
      <c r="AH7" s="202"/>
      <c r="AI7" s="202"/>
      <c r="AJ7" s="203"/>
      <c r="AK7" s="202"/>
      <c r="AL7" s="202"/>
      <c r="AM7" s="202"/>
      <c r="AN7" s="203"/>
      <c r="AP7" s="503" t="s">
        <v>178</v>
      </c>
      <c r="AQ7" s="504">
        <f>Namibiaalltestshistptsscored</f>
        <v>4853</v>
      </c>
      <c r="AS7" s="503" t="s">
        <v>178</v>
      </c>
      <c r="AT7" s="504">
        <f>NamibiaRWChistptsscored</f>
        <v>248</v>
      </c>
    </row>
    <row r="8" spans="1:46" ht="14.95" customHeight="1" thickBot="1" x14ac:dyDescent="0.35">
      <c r="A8" s="184"/>
      <c r="B8" s="185"/>
      <c r="C8" s="185"/>
      <c r="D8" s="185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7"/>
      <c r="T8" s="569"/>
      <c r="U8" s="187"/>
      <c r="V8" s="187"/>
      <c r="W8" s="187"/>
      <c r="X8" s="187"/>
      <c r="Y8" s="202"/>
      <c r="Z8" s="202"/>
      <c r="AA8" s="202"/>
      <c r="AB8" s="203"/>
      <c r="AC8" s="202"/>
      <c r="AD8" s="202"/>
      <c r="AE8" s="202"/>
      <c r="AF8" s="203"/>
      <c r="AG8" s="202"/>
      <c r="AH8" s="202"/>
      <c r="AI8" s="202"/>
      <c r="AJ8" s="203"/>
      <c r="AK8" s="202"/>
      <c r="AL8" s="202"/>
      <c r="AM8" s="202"/>
      <c r="AN8" s="203"/>
      <c r="AP8" s="503" t="s">
        <v>179</v>
      </c>
      <c r="AQ8" s="504">
        <f>Namibiaalltestshistptscon</f>
        <v>4126</v>
      </c>
      <c r="AS8" s="503" t="s">
        <v>179</v>
      </c>
      <c r="AT8" s="504">
        <f>NamibiaRWChistptsagainst</f>
        <v>1323</v>
      </c>
    </row>
    <row r="9" spans="1:46" ht="14.95" customHeight="1" thickBot="1" x14ac:dyDescent="0.3">
      <c r="A9" s="387"/>
      <c r="B9" s="388"/>
      <c r="C9" s="874" t="s">
        <v>158</v>
      </c>
      <c r="D9" s="875"/>
      <c r="E9" s="876"/>
      <c r="F9" s="472">
        <f>SUM(F3:F4)</f>
        <v>0</v>
      </c>
      <c r="G9" s="472">
        <f t="shared" ref="G9:R9" si="0">SUM(G3:G4)</f>
        <v>0</v>
      </c>
      <c r="H9" s="472">
        <f t="shared" si="0"/>
        <v>0</v>
      </c>
      <c r="I9" s="472">
        <f t="shared" si="0"/>
        <v>0</v>
      </c>
      <c r="J9" s="472">
        <f t="shared" si="0"/>
        <v>0</v>
      </c>
      <c r="K9" s="472">
        <f t="shared" si="0"/>
        <v>0</v>
      </c>
      <c r="L9" s="472">
        <f t="shared" si="0"/>
        <v>0</v>
      </c>
      <c r="M9" s="472">
        <f t="shared" si="0"/>
        <v>0</v>
      </c>
      <c r="N9" s="472">
        <f t="shared" si="0"/>
        <v>0</v>
      </c>
      <c r="O9" s="472">
        <f t="shared" si="0"/>
        <v>0</v>
      </c>
      <c r="P9" s="472">
        <f t="shared" si="0"/>
        <v>0</v>
      </c>
      <c r="Q9" s="472">
        <f t="shared" si="0"/>
        <v>0</v>
      </c>
      <c r="R9" s="472">
        <f t="shared" si="0"/>
        <v>0</v>
      </c>
      <c r="S9" s="468"/>
      <c r="T9" s="468"/>
      <c r="U9" s="468"/>
      <c r="V9" s="468"/>
      <c r="W9" s="469"/>
      <c r="X9" s="623" t="s">
        <v>158</v>
      </c>
      <c r="Y9" s="472">
        <f t="shared" ref="Y9:AN9" si="1">SUM(Y3:Y4)</f>
        <v>0</v>
      </c>
      <c r="Z9" s="472">
        <f t="shared" si="1"/>
        <v>0</v>
      </c>
      <c r="AA9" s="472">
        <f t="shared" si="1"/>
        <v>0</v>
      </c>
      <c r="AB9" s="472">
        <f t="shared" si="1"/>
        <v>0</v>
      </c>
      <c r="AC9" s="470">
        <f t="shared" si="1"/>
        <v>0</v>
      </c>
      <c r="AD9" s="470">
        <f t="shared" si="1"/>
        <v>0</v>
      </c>
      <c r="AE9" s="470">
        <f t="shared" si="1"/>
        <v>0</v>
      </c>
      <c r="AF9" s="470">
        <f t="shared" si="1"/>
        <v>0</v>
      </c>
      <c r="AG9" s="471">
        <f t="shared" si="1"/>
        <v>0</v>
      </c>
      <c r="AH9" s="471">
        <f t="shared" si="1"/>
        <v>0</v>
      </c>
      <c r="AI9" s="471">
        <f t="shared" si="1"/>
        <v>0</v>
      </c>
      <c r="AJ9" s="471">
        <f t="shared" si="1"/>
        <v>0</v>
      </c>
      <c r="AK9" s="472">
        <f t="shared" si="1"/>
        <v>0</v>
      </c>
      <c r="AL9" s="472">
        <f t="shared" si="1"/>
        <v>0</v>
      </c>
      <c r="AM9" s="472">
        <f t="shared" si="1"/>
        <v>0</v>
      </c>
      <c r="AN9" s="472">
        <f t="shared" si="1"/>
        <v>0</v>
      </c>
      <c r="AP9" s="503" t="s">
        <v>169</v>
      </c>
      <c r="AQ9" s="504">
        <f>Namibiaalltestshisttriesscored</f>
        <v>648</v>
      </c>
      <c r="AS9" s="503" t="s">
        <v>169</v>
      </c>
      <c r="AT9" s="504">
        <f>NamibiaRWChisttriesscored</f>
        <v>27</v>
      </c>
    </row>
    <row r="10" spans="1:46" ht="14.95" thickBot="1" x14ac:dyDescent="0.3">
      <c r="A10" s="387"/>
      <c r="B10" s="388"/>
      <c r="C10" s="732" t="s">
        <v>108</v>
      </c>
      <c r="D10" s="733"/>
      <c r="E10" s="734"/>
      <c r="F10" s="552">
        <f t="shared" ref="F10:R10" si="2">SUM(F3:F8)</f>
        <v>0</v>
      </c>
      <c r="G10" s="552">
        <f t="shared" si="2"/>
        <v>0</v>
      </c>
      <c r="H10" s="552">
        <f t="shared" si="2"/>
        <v>0</v>
      </c>
      <c r="I10" s="552">
        <f t="shared" si="2"/>
        <v>0</v>
      </c>
      <c r="J10" s="552">
        <f t="shared" si="2"/>
        <v>0</v>
      </c>
      <c r="K10" s="552">
        <f t="shared" si="2"/>
        <v>0</v>
      </c>
      <c r="L10" s="552">
        <f t="shared" si="2"/>
        <v>0</v>
      </c>
      <c r="M10" s="552">
        <f t="shared" si="2"/>
        <v>0</v>
      </c>
      <c r="N10" s="552">
        <f t="shared" si="2"/>
        <v>0</v>
      </c>
      <c r="O10" s="552">
        <f t="shared" si="2"/>
        <v>0</v>
      </c>
      <c r="P10" s="552">
        <f t="shared" si="2"/>
        <v>0</v>
      </c>
      <c r="Q10" s="552">
        <f t="shared" si="2"/>
        <v>0</v>
      </c>
      <c r="R10" s="552">
        <f t="shared" si="2"/>
        <v>0</v>
      </c>
      <c r="S10" s="548"/>
      <c r="T10" s="548"/>
      <c r="U10" s="548"/>
      <c r="V10" s="548"/>
      <c r="W10" s="13"/>
      <c r="X10" s="596" t="s">
        <v>108</v>
      </c>
      <c r="Y10" s="552">
        <f t="shared" ref="Y10:AN10" si="3">SUM(Y3:Y8)</f>
        <v>0</v>
      </c>
      <c r="Z10" s="552">
        <f t="shared" si="3"/>
        <v>0</v>
      </c>
      <c r="AA10" s="552">
        <f t="shared" si="3"/>
        <v>0</v>
      </c>
      <c r="AB10" s="552">
        <f t="shared" si="3"/>
        <v>0</v>
      </c>
      <c r="AC10" s="550">
        <f t="shared" si="3"/>
        <v>0</v>
      </c>
      <c r="AD10" s="550">
        <f t="shared" si="3"/>
        <v>0</v>
      </c>
      <c r="AE10" s="550">
        <f t="shared" si="3"/>
        <v>0</v>
      </c>
      <c r="AF10" s="550">
        <f t="shared" si="3"/>
        <v>0</v>
      </c>
      <c r="AG10" s="551">
        <f t="shared" si="3"/>
        <v>0</v>
      </c>
      <c r="AH10" s="551">
        <f t="shared" si="3"/>
        <v>0</v>
      </c>
      <c r="AI10" s="551">
        <f t="shared" si="3"/>
        <v>0</v>
      </c>
      <c r="AJ10" s="551">
        <f t="shared" si="3"/>
        <v>0</v>
      </c>
      <c r="AK10" s="552">
        <f t="shared" si="3"/>
        <v>0</v>
      </c>
      <c r="AL10" s="552">
        <f t="shared" si="3"/>
        <v>0</v>
      </c>
      <c r="AM10" s="552">
        <f t="shared" si="3"/>
        <v>0</v>
      </c>
      <c r="AN10" s="552">
        <f t="shared" si="3"/>
        <v>0</v>
      </c>
    </row>
    <row r="11" spans="1:46" x14ac:dyDescent="0.25">
      <c r="A11" s="871" t="s">
        <v>501</v>
      </c>
      <c r="B11" s="872"/>
      <c r="C11" s="872"/>
      <c r="D11" s="872"/>
      <c r="E11" s="872"/>
      <c r="F11" s="872"/>
      <c r="G11" s="872"/>
      <c r="H11" s="872"/>
      <c r="I11" s="872"/>
      <c r="J11" s="872"/>
      <c r="K11" s="872"/>
      <c r="L11" s="872"/>
      <c r="M11" s="872"/>
      <c r="N11" s="872"/>
      <c r="O11" s="872"/>
      <c r="P11" s="872"/>
      <c r="Q11" s="872"/>
      <c r="R11" s="872"/>
      <c r="S11" s="872"/>
      <c r="T11" s="872"/>
      <c r="U11" s="872"/>
      <c r="V11" s="872"/>
      <c r="W11" s="872"/>
      <c r="X11" s="872"/>
      <c r="Y11" s="872"/>
      <c r="Z11" s="872"/>
      <c r="AA11" s="872"/>
      <c r="AB11" s="872"/>
      <c r="AC11" s="872"/>
      <c r="AD11" s="872"/>
      <c r="AE11" s="872"/>
      <c r="AF11" s="872"/>
      <c r="AG11" s="872"/>
      <c r="AH11" s="872"/>
      <c r="AI11" s="872"/>
      <c r="AJ11" s="872"/>
      <c r="AK11" s="872"/>
      <c r="AL11" s="872"/>
      <c r="AM11" s="872"/>
      <c r="AN11" s="872"/>
    </row>
    <row r="12" spans="1:46" x14ac:dyDescent="0.25">
      <c r="A12" s="387"/>
      <c r="B12" s="388"/>
      <c r="F12" s="14"/>
      <c r="G12" s="14"/>
      <c r="H12" s="13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46" ht="15.8" customHeight="1" x14ac:dyDescent="0.25">
      <c r="A13" s="387"/>
      <c r="B13" s="388"/>
      <c r="S13" s="530"/>
      <c r="T13" s="530"/>
    </row>
    <row r="14" spans="1:46" x14ac:dyDescent="0.25">
      <c r="A14" s="566"/>
      <c r="F14" s="14"/>
      <c r="G14" s="14"/>
      <c r="H14" s="13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46" x14ac:dyDescent="0.25">
      <c r="A15" s="539"/>
    </row>
    <row r="16" spans="1:46" ht="14.95" customHeight="1" x14ac:dyDescent="0.25">
      <c r="A16" s="593"/>
    </row>
    <row r="17" spans="1:2" x14ac:dyDescent="0.25">
      <c r="A17" s="467"/>
    </row>
    <row r="18" spans="1:2" x14ac:dyDescent="0.25">
      <c r="A18" s="156"/>
      <c r="B18" t="s">
        <v>44</v>
      </c>
    </row>
    <row r="19" spans="1:2" x14ac:dyDescent="0.25">
      <c r="A19" s="154"/>
      <c r="B19" t="s">
        <v>42</v>
      </c>
    </row>
    <row r="20" spans="1:2" x14ac:dyDescent="0.25">
      <c r="A20" s="155"/>
      <c r="B20" t="s">
        <v>43</v>
      </c>
    </row>
    <row r="21" spans="1:2" x14ac:dyDescent="0.25">
      <c r="A21" s="15" t="s">
        <v>28</v>
      </c>
    </row>
  </sheetData>
  <mergeCells count="13">
    <mergeCell ref="A11:AN11"/>
    <mergeCell ref="AK1:AN1"/>
    <mergeCell ref="C10:E10"/>
    <mergeCell ref="C9:E9"/>
    <mergeCell ref="P1:R1"/>
    <mergeCell ref="A1:C1"/>
    <mergeCell ref="E1:G1"/>
    <mergeCell ref="H1:I1"/>
    <mergeCell ref="J1:M1"/>
    <mergeCell ref="N1:O1"/>
    <mergeCell ref="Y1:AB1"/>
    <mergeCell ref="AC1:AF1"/>
    <mergeCell ref="AG1:A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1"/>
  <sheetViews>
    <sheetView topLeftCell="A31" workbookViewId="0">
      <selection activeCell="I60" sqref="I60"/>
    </sheetView>
  </sheetViews>
  <sheetFormatPr defaultRowHeight="14.3" x14ac:dyDescent="0.25"/>
  <cols>
    <col min="1" max="1" width="12.875" bestFit="1" customWidth="1"/>
    <col min="2" max="2" width="4.625" customWidth="1"/>
    <col min="3" max="3" width="4" bestFit="1" customWidth="1"/>
    <col min="4" max="4" width="12.875" bestFit="1" customWidth="1"/>
    <col min="5" max="6" width="3" bestFit="1" customWidth="1"/>
    <col min="7" max="7" width="2" bestFit="1" customWidth="1"/>
    <col min="8" max="8" width="46.625" bestFit="1" customWidth="1"/>
    <col min="9" max="9" width="39.5" bestFit="1" customWidth="1"/>
    <col min="10" max="11" width="10.125" bestFit="1" customWidth="1"/>
  </cols>
  <sheetData>
    <row r="1" spans="1:11" x14ac:dyDescent="0.25">
      <c r="A1" s="366" t="s">
        <v>105</v>
      </c>
      <c r="B1" s="426">
        <v>12</v>
      </c>
      <c r="C1" s="443">
        <v>31</v>
      </c>
      <c r="D1" s="442" t="s">
        <v>146</v>
      </c>
      <c r="E1" s="427">
        <v>7</v>
      </c>
      <c r="F1" s="427">
        <v>14</v>
      </c>
      <c r="G1" s="443"/>
      <c r="H1" s="442" t="s">
        <v>244</v>
      </c>
      <c r="I1" t="s">
        <v>288</v>
      </c>
      <c r="J1" s="366">
        <v>43862</v>
      </c>
      <c r="K1" s="366"/>
    </row>
    <row r="2" spans="1:11" x14ac:dyDescent="0.25">
      <c r="A2" s="366" t="s">
        <v>38</v>
      </c>
      <c r="B2" s="426">
        <v>41</v>
      </c>
      <c r="C2" s="443">
        <v>13</v>
      </c>
      <c r="D2" s="442" t="s">
        <v>145</v>
      </c>
      <c r="E2" s="427">
        <v>8</v>
      </c>
      <c r="F2" s="427">
        <v>6</v>
      </c>
      <c r="G2" s="443"/>
      <c r="H2" s="442" t="s">
        <v>244</v>
      </c>
      <c r="I2" t="s">
        <v>290</v>
      </c>
      <c r="J2" s="366">
        <v>43862</v>
      </c>
      <c r="K2" s="366"/>
    </row>
    <row r="3" spans="1:11" x14ac:dyDescent="0.25">
      <c r="A3" s="366" t="s">
        <v>32</v>
      </c>
      <c r="B3" s="426">
        <v>42</v>
      </c>
      <c r="C3" s="443">
        <v>0</v>
      </c>
      <c r="D3" s="442" t="s">
        <v>33</v>
      </c>
      <c r="E3" s="427">
        <v>21</v>
      </c>
      <c r="F3" s="427">
        <v>0</v>
      </c>
      <c r="G3" s="443"/>
      <c r="H3" s="442" t="s">
        <v>243</v>
      </c>
      <c r="I3" s="366" t="s">
        <v>289</v>
      </c>
      <c r="J3" s="366">
        <v>43862</v>
      </c>
      <c r="K3" s="366"/>
    </row>
    <row r="4" spans="1:11" x14ac:dyDescent="0.25">
      <c r="A4" s="366" t="s">
        <v>147</v>
      </c>
      <c r="B4" s="426">
        <v>23</v>
      </c>
      <c r="C4" s="443">
        <v>17</v>
      </c>
      <c r="D4" s="442" t="s">
        <v>143</v>
      </c>
      <c r="E4" s="427">
        <v>14</v>
      </c>
      <c r="F4" s="427">
        <v>0</v>
      </c>
      <c r="G4" s="443"/>
      <c r="H4" s="442" t="s">
        <v>244</v>
      </c>
      <c r="I4" s="366" t="s">
        <v>291</v>
      </c>
      <c r="J4" s="366">
        <v>43862</v>
      </c>
      <c r="K4" s="366"/>
    </row>
    <row r="5" spans="1:11" x14ac:dyDescent="0.25">
      <c r="A5" s="366" t="s">
        <v>39</v>
      </c>
      <c r="B5" s="426">
        <v>19</v>
      </c>
      <c r="C5" s="443">
        <v>12</v>
      </c>
      <c r="D5" s="442" t="s">
        <v>35</v>
      </c>
      <c r="E5" s="427">
        <v>10</v>
      </c>
      <c r="F5" s="427">
        <v>6</v>
      </c>
      <c r="G5" s="443"/>
      <c r="H5" s="442" t="s">
        <v>245</v>
      </c>
      <c r="I5" t="s">
        <v>284</v>
      </c>
      <c r="J5" s="366">
        <v>43862</v>
      </c>
      <c r="K5" s="366"/>
    </row>
    <row r="6" spans="1:11" x14ac:dyDescent="0.25">
      <c r="A6" s="366" t="s">
        <v>34</v>
      </c>
      <c r="B6" s="426">
        <v>24</v>
      </c>
      <c r="C6" s="443">
        <v>17</v>
      </c>
      <c r="D6" s="442" t="s">
        <v>30</v>
      </c>
      <c r="E6" s="427">
        <v>17</v>
      </c>
      <c r="F6" s="427">
        <v>0</v>
      </c>
      <c r="G6" s="443"/>
      <c r="H6" s="442" t="s">
        <v>243</v>
      </c>
      <c r="I6" s="366" t="s">
        <v>285</v>
      </c>
      <c r="J6" s="366">
        <v>43863</v>
      </c>
      <c r="K6" s="366"/>
    </row>
    <row r="7" spans="1:11" x14ac:dyDescent="0.25">
      <c r="A7" s="366" t="s">
        <v>143</v>
      </c>
      <c r="B7" s="426">
        <v>38</v>
      </c>
      <c r="C7" s="443">
        <v>12</v>
      </c>
      <c r="D7" s="442" t="s">
        <v>105</v>
      </c>
      <c r="E7" s="427">
        <v>10</v>
      </c>
      <c r="F7" s="427">
        <v>12</v>
      </c>
      <c r="G7" s="443"/>
      <c r="H7" s="442" t="s">
        <v>244</v>
      </c>
      <c r="I7" t="s">
        <v>295</v>
      </c>
      <c r="J7" s="366">
        <v>43869</v>
      </c>
      <c r="K7" s="366"/>
    </row>
    <row r="8" spans="1:11" x14ac:dyDescent="0.25">
      <c r="A8" t="s">
        <v>39</v>
      </c>
      <c r="B8" s="426">
        <v>24</v>
      </c>
      <c r="C8" s="443">
        <v>14</v>
      </c>
      <c r="D8" s="442" t="s">
        <v>32</v>
      </c>
      <c r="E8" s="427">
        <v>12</v>
      </c>
      <c r="F8" s="427">
        <v>7</v>
      </c>
      <c r="G8" s="443"/>
      <c r="H8" s="442" t="s">
        <v>243</v>
      </c>
      <c r="I8" t="s">
        <v>284</v>
      </c>
      <c r="J8" s="366">
        <v>43869</v>
      </c>
      <c r="K8" s="366"/>
    </row>
    <row r="9" spans="1:11" x14ac:dyDescent="0.25">
      <c r="A9" t="s">
        <v>147</v>
      </c>
      <c r="B9" s="426">
        <v>22</v>
      </c>
      <c r="C9" s="443">
        <v>11</v>
      </c>
      <c r="D9" s="442" t="s">
        <v>145</v>
      </c>
      <c r="E9" s="427">
        <v>17</v>
      </c>
      <c r="F9" s="427">
        <v>6</v>
      </c>
      <c r="G9" s="443"/>
      <c r="H9" s="442" t="s">
        <v>244</v>
      </c>
      <c r="I9" t="s">
        <v>299</v>
      </c>
      <c r="J9" s="366">
        <v>43869</v>
      </c>
      <c r="K9" s="366"/>
    </row>
    <row r="10" spans="1:11" x14ac:dyDescent="0.25">
      <c r="A10" t="s">
        <v>35</v>
      </c>
      <c r="B10" s="426">
        <v>6</v>
      </c>
      <c r="C10" s="443">
        <v>13</v>
      </c>
      <c r="D10" s="442" t="s">
        <v>30</v>
      </c>
      <c r="E10" s="427">
        <v>0</v>
      </c>
      <c r="F10" s="427">
        <v>3</v>
      </c>
      <c r="G10" s="443"/>
      <c r="H10" s="442" t="s">
        <v>474</v>
      </c>
      <c r="I10" t="s">
        <v>286</v>
      </c>
      <c r="J10" s="366">
        <v>43869</v>
      </c>
      <c r="K10" s="366"/>
    </row>
    <row r="11" spans="1:11" x14ac:dyDescent="0.25">
      <c r="A11" t="s">
        <v>146</v>
      </c>
      <c r="B11" s="426">
        <v>10</v>
      </c>
      <c r="C11" s="443">
        <v>23</v>
      </c>
      <c r="D11" s="442" t="s">
        <v>38</v>
      </c>
      <c r="E11" s="427">
        <v>5</v>
      </c>
      <c r="F11" s="427">
        <v>23</v>
      </c>
      <c r="G11" s="443"/>
      <c r="H11" s="442" t="s">
        <v>244</v>
      </c>
      <c r="I11" t="s">
        <v>317</v>
      </c>
      <c r="J11" s="366">
        <v>43870</v>
      </c>
      <c r="K11" s="366"/>
    </row>
    <row r="12" spans="1:11" x14ac:dyDescent="0.25">
      <c r="A12" t="s">
        <v>34</v>
      </c>
      <c r="B12" s="426">
        <v>35</v>
      </c>
      <c r="C12" s="443">
        <v>22</v>
      </c>
      <c r="D12" s="442" t="s">
        <v>33</v>
      </c>
      <c r="E12" s="427">
        <v>23</v>
      </c>
      <c r="F12" s="427">
        <v>10</v>
      </c>
      <c r="G12" s="443"/>
      <c r="H12" s="442" t="s">
        <v>475</v>
      </c>
      <c r="I12" s="366" t="s">
        <v>285</v>
      </c>
      <c r="J12" s="366">
        <v>43870</v>
      </c>
      <c r="K12" s="366"/>
    </row>
    <row r="13" spans="1:11" x14ac:dyDescent="0.25">
      <c r="A13" t="s">
        <v>38</v>
      </c>
      <c r="B13" s="426">
        <v>78</v>
      </c>
      <c r="C13" s="443">
        <v>6</v>
      </c>
      <c r="D13" s="442" t="s">
        <v>143</v>
      </c>
      <c r="E13" s="427">
        <v>33</v>
      </c>
      <c r="F13" s="427">
        <v>6</v>
      </c>
      <c r="G13" s="443"/>
      <c r="H13" s="442" t="s">
        <v>244</v>
      </c>
      <c r="I13" t="s">
        <v>316</v>
      </c>
      <c r="J13" s="366">
        <v>43883</v>
      </c>
      <c r="K13" s="366"/>
    </row>
    <row r="14" spans="1:11" x14ac:dyDescent="0.25">
      <c r="A14" t="s">
        <v>145</v>
      </c>
      <c r="B14" s="426">
        <v>24</v>
      </c>
      <c r="C14" s="443">
        <v>7</v>
      </c>
      <c r="D14" s="442" t="s">
        <v>146</v>
      </c>
      <c r="E14" s="427">
        <v>6</v>
      </c>
      <c r="F14" s="427">
        <v>0</v>
      </c>
      <c r="G14" s="443"/>
      <c r="H14" s="442" t="s">
        <v>244</v>
      </c>
      <c r="I14" t="s">
        <v>320</v>
      </c>
      <c r="J14" s="366">
        <v>43883</v>
      </c>
      <c r="K14" s="366"/>
    </row>
    <row r="15" spans="1:11" x14ac:dyDescent="0.25">
      <c r="A15" t="s">
        <v>105</v>
      </c>
      <c r="B15" s="426">
        <v>19</v>
      </c>
      <c r="C15" s="443">
        <v>18</v>
      </c>
      <c r="D15" s="442" t="s">
        <v>147</v>
      </c>
      <c r="E15" s="427">
        <v>19</v>
      </c>
      <c r="F15" s="427">
        <v>7</v>
      </c>
      <c r="G15" s="443"/>
      <c r="H15" s="442" t="s">
        <v>244</v>
      </c>
      <c r="I15" t="s">
        <v>324</v>
      </c>
      <c r="J15" s="366">
        <v>43883</v>
      </c>
      <c r="K15" s="366"/>
    </row>
    <row r="16" spans="1:11" x14ac:dyDescent="0.25">
      <c r="A16" t="s">
        <v>33</v>
      </c>
      <c r="B16" s="426">
        <v>0</v>
      </c>
      <c r="C16" s="443">
        <v>17</v>
      </c>
      <c r="D16" s="442" t="s">
        <v>35</v>
      </c>
      <c r="E16" s="427">
        <v>0</v>
      </c>
      <c r="F16" s="427">
        <v>5</v>
      </c>
      <c r="G16" s="443"/>
      <c r="H16" s="442" t="s">
        <v>243</v>
      </c>
      <c r="I16" t="s">
        <v>318</v>
      </c>
      <c r="J16" s="366">
        <v>43883</v>
      </c>
      <c r="K16" s="366"/>
    </row>
    <row r="17" spans="1:11" x14ac:dyDescent="0.25">
      <c r="A17" t="s">
        <v>32</v>
      </c>
      <c r="B17" s="426">
        <v>23</v>
      </c>
      <c r="C17" s="443">
        <v>27</v>
      </c>
      <c r="D17" s="442" t="s">
        <v>34</v>
      </c>
      <c r="E17" s="427">
        <v>9</v>
      </c>
      <c r="F17" s="427">
        <v>17</v>
      </c>
      <c r="G17" s="443"/>
      <c r="H17" s="442" t="s">
        <v>243</v>
      </c>
      <c r="I17" s="366" t="s">
        <v>289</v>
      </c>
      <c r="J17" s="366">
        <v>43883</v>
      </c>
      <c r="K17" s="366"/>
    </row>
    <row r="18" spans="1:11" x14ac:dyDescent="0.25">
      <c r="A18" t="s">
        <v>30</v>
      </c>
      <c r="B18" s="426">
        <v>24</v>
      </c>
      <c r="C18" s="443">
        <v>12</v>
      </c>
      <c r="D18" s="442" t="s">
        <v>39</v>
      </c>
      <c r="E18" s="427">
        <v>17</v>
      </c>
      <c r="F18" s="427">
        <v>0</v>
      </c>
      <c r="G18" s="443"/>
      <c r="H18" s="442" t="s">
        <v>476</v>
      </c>
      <c r="I18" t="s">
        <v>287</v>
      </c>
      <c r="J18" s="366">
        <v>43884</v>
      </c>
      <c r="K18" s="366"/>
    </row>
    <row r="19" spans="1:11" x14ac:dyDescent="0.25">
      <c r="A19" t="s">
        <v>144</v>
      </c>
      <c r="B19" s="426">
        <v>20</v>
      </c>
      <c r="C19" s="443">
        <v>33</v>
      </c>
      <c r="D19" s="442" t="s">
        <v>279</v>
      </c>
      <c r="E19" s="427">
        <v>20</v>
      </c>
      <c r="F19" s="427">
        <v>16</v>
      </c>
      <c r="G19" s="443"/>
      <c r="H19" s="442" t="s">
        <v>294</v>
      </c>
      <c r="I19" t="s">
        <v>329</v>
      </c>
      <c r="J19" s="366">
        <v>43890</v>
      </c>
      <c r="K19" s="366"/>
    </row>
    <row r="20" spans="1:11" x14ac:dyDescent="0.25">
      <c r="A20" t="s">
        <v>280</v>
      </c>
      <c r="B20" s="426">
        <v>7</v>
      </c>
      <c r="C20" s="443">
        <v>6</v>
      </c>
      <c r="D20" s="442" t="s">
        <v>281</v>
      </c>
      <c r="E20" s="427">
        <v>0</v>
      </c>
      <c r="F20" s="427">
        <v>6</v>
      </c>
      <c r="G20" s="443"/>
      <c r="H20" s="442" t="s">
        <v>294</v>
      </c>
      <c r="I20" t="s">
        <v>330</v>
      </c>
      <c r="J20" s="366">
        <v>43890</v>
      </c>
      <c r="K20" s="366"/>
    </row>
    <row r="21" spans="1:11" x14ac:dyDescent="0.25">
      <c r="A21" t="s">
        <v>105</v>
      </c>
      <c r="B21" s="426">
        <v>32</v>
      </c>
      <c r="C21" s="443">
        <v>25</v>
      </c>
      <c r="D21" s="442" t="s">
        <v>145</v>
      </c>
      <c r="E21" s="427">
        <v>20</v>
      </c>
      <c r="F21" s="427">
        <v>13</v>
      </c>
      <c r="G21" s="443"/>
      <c r="H21" s="442" t="s">
        <v>244</v>
      </c>
      <c r="I21" t="s">
        <v>332</v>
      </c>
      <c r="J21" s="366">
        <v>43897</v>
      </c>
      <c r="K21" s="366"/>
    </row>
    <row r="22" spans="1:11" x14ac:dyDescent="0.25">
      <c r="A22" t="s">
        <v>143</v>
      </c>
      <c r="B22" s="426">
        <v>23</v>
      </c>
      <c r="C22" s="443">
        <v>30</v>
      </c>
      <c r="D22" s="442" t="s">
        <v>146</v>
      </c>
      <c r="E22" s="427">
        <v>7</v>
      </c>
      <c r="F22" s="427">
        <v>13</v>
      </c>
      <c r="G22" s="443"/>
      <c r="H22" s="442" t="s">
        <v>244</v>
      </c>
      <c r="I22" t="s">
        <v>295</v>
      </c>
      <c r="J22" s="366">
        <v>43897</v>
      </c>
      <c r="K22" s="366"/>
    </row>
    <row r="23" spans="1:11" x14ac:dyDescent="0.25">
      <c r="A23" t="s">
        <v>280</v>
      </c>
      <c r="B23" s="426">
        <v>36</v>
      </c>
      <c r="C23" s="443">
        <v>17</v>
      </c>
      <c r="D23" s="442" t="s">
        <v>282</v>
      </c>
      <c r="E23" s="427">
        <v>17</v>
      </c>
      <c r="F23" s="427">
        <v>17</v>
      </c>
      <c r="G23" s="443"/>
      <c r="H23" s="442" t="s">
        <v>294</v>
      </c>
      <c r="I23" t="s">
        <v>330</v>
      </c>
      <c r="J23" s="366">
        <v>43897</v>
      </c>
      <c r="K23" s="366"/>
    </row>
    <row r="24" spans="1:11" x14ac:dyDescent="0.25">
      <c r="A24" t="s">
        <v>147</v>
      </c>
      <c r="B24" s="426">
        <v>24</v>
      </c>
      <c r="C24" s="443">
        <v>39</v>
      </c>
      <c r="D24" s="442" t="s">
        <v>38</v>
      </c>
      <c r="E24" s="427">
        <v>14</v>
      </c>
      <c r="F24" s="427">
        <v>17</v>
      </c>
      <c r="G24" s="443"/>
      <c r="H24" s="442" t="s">
        <v>244</v>
      </c>
      <c r="I24" t="s">
        <v>337</v>
      </c>
      <c r="J24" s="366">
        <v>43897</v>
      </c>
      <c r="K24" s="366"/>
    </row>
    <row r="25" spans="1:11" x14ac:dyDescent="0.25">
      <c r="A25" t="s">
        <v>30</v>
      </c>
      <c r="B25" s="426">
        <v>33</v>
      </c>
      <c r="C25" s="443">
        <v>30</v>
      </c>
      <c r="D25" s="442" t="s">
        <v>32</v>
      </c>
      <c r="E25" s="427">
        <v>20</v>
      </c>
      <c r="F25" s="427">
        <v>9</v>
      </c>
      <c r="G25" s="443"/>
      <c r="H25" s="442" t="s">
        <v>243</v>
      </c>
      <c r="I25" t="s">
        <v>287</v>
      </c>
      <c r="J25" s="366">
        <v>43897</v>
      </c>
      <c r="K25" s="366"/>
    </row>
    <row r="26" spans="1:11" x14ac:dyDescent="0.25">
      <c r="A26" t="s">
        <v>35</v>
      </c>
      <c r="B26" s="426">
        <v>28</v>
      </c>
      <c r="C26" s="443">
        <v>17</v>
      </c>
      <c r="D26" s="442" t="s">
        <v>34</v>
      </c>
      <c r="E26" s="427">
        <v>14</v>
      </c>
      <c r="F26" s="427">
        <v>7</v>
      </c>
      <c r="G26" s="443"/>
      <c r="H26" s="442" t="s">
        <v>283</v>
      </c>
      <c r="I26" t="s">
        <v>286</v>
      </c>
      <c r="J26" s="366">
        <v>43898</v>
      </c>
      <c r="K26" s="366"/>
    </row>
    <row r="27" spans="1:11" x14ac:dyDescent="0.25">
      <c r="A27" t="s">
        <v>162</v>
      </c>
      <c r="B27" s="426">
        <v>16</v>
      </c>
      <c r="C27" s="443">
        <v>16</v>
      </c>
      <c r="D27" s="442" t="s">
        <v>29</v>
      </c>
      <c r="E27" s="427">
        <v>8</v>
      </c>
      <c r="F27" s="427">
        <v>3</v>
      </c>
      <c r="G27" s="443"/>
      <c r="H27" s="442" t="s">
        <v>343</v>
      </c>
      <c r="I27" t="s">
        <v>357</v>
      </c>
      <c r="J27" s="366">
        <v>44115</v>
      </c>
      <c r="K27" s="366"/>
    </row>
    <row r="28" spans="1:11" x14ac:dyDescent="0.25">
      <c r="A28" t="s">
        <v>162</v>
      </c>
      <c r="B28" s="426">
        <v>27</v>
      </c>
      <c r="C28" s="443">
        <v>7</v>
      </c>
      <c r="D28" s="442" t="s">
        <v>29</v>
      </c>
      <c r="E28" s="427">
        <v>10</v>
      </c>
      <c r="F28" s="427">
        <v>7</v>
      </c>
      <c r="G28" s="443"/>
      <c r="H28" s="442" t="s">
        <v>343</v>
      </c>
      <c r="I28" t="s">
        <v>358</v>
      </c>
      <c r="J28" s="366">
        <v>44122</v>
      </c>
      <c r="K28" s="366"/>
    </row>
    <row r="29" spans="1:11" x14ac:dyDescent="0.25">
      <c r="A29" t="s">
        <v>35</v>
      </c>
      <c r="B29" s="426">
        <v>48</v>
      </c>
      <c r="C29" s="443">
        <v>7</v>
      </c>
      <c r="D29" s="442" t="s">
        <v>38</v>
      </c>
      <c r="E29" s="427">
        <v>17</v>
      </c>
      <c r="F29" s="427">
        <v>0</v>
      </c>
      <c r="G29" s="443"/>
      <c r="H29" s="442" t="s">
        <v>395</v>
      </c>
      <c r="I29" t="s">
        <v>286</v>
      </c>
      <c r="J29" s="366">
        <v>44127</v>
      </c>
      <c r="K29" s="366"/>
    </row>
    <row r="30" spans="1:11" x14ac:dyDescent="0.25">
      <c r="A30" t="s">
        <v>39</v>
      </c>
      <c r="B30" s="426">
        <v>50</v>
      </c>
      <c r="C30" s="443">
        <v>17</v>
      </c>
      <c r="D30" s="442" t="s">
        <v>33</v>
      </c>
      <c r="E30" s="427">
        <v>24</v>
      </c>
      <c r="F30" s="427">
        <v>3</v>
      </c>
      <c r="G30" s="443"/>
      <c r="H30" s="442" t="s">
        <v>243</v>
      </c>
      <c r="I30" t="s">
        <v>284</v>
      </c>
      <c r="J30" s="366">
        <v>44128</v>
      </c>
      <c r="K30" s="366"/>
    </row>
    <row r="31" spans="1:11" x14ac:dyDescent="0.25">
      <c r="A31" t="s">
        <v>34</v>
      </c>
      <c r="B31" s="426">
        <v>38</v>
      </c>
      <c r="C31" s="443">
        <v>21</v>
      </c>
      <c r="D31" s="442" t="s">
        <v>32</v>
      </c>
      <c r="E31" s="427">
        <v>21</v>
      </c>
      <c r="F31" s="427">
        <v>13</v>
      </c>
      <c r="G31" s="443"/>
      <c r="H31" s="442" t="s">
        <v>395</v>
      </c>
      <c r="I31" s="366" t="s">
        <v>285</v>
      </c>
      <c r="J31" s="366">
        <v>44128</v>
      </c>
      <c r="K31" s="366"/>
    </row>
    <row r="32" spans="1:11" x14ac:dyDescent="0.25">
      <c r="A32" t="s">
        <v>29</v>
      </c>
      <c r="B32" s="426">
        <v>5</v>
      </c>
      <c r="C32" s="443">
        <v>43</v>
      </c>
      <c r="D32" s="442" t="s">
        <v>162</v>
      </c>
      <c r="E32" s="427">
        <v>0</v>
      </c>
      <c r="F32" s="427">
        <v>26</v>
      </c>
      <c r="G32" s="443"/>
      <c r="H32" s="442" t="s">
        <v>407</v>
      </c>
      <c r="I32" t="s">
        <v>408</v>
      </c>
      <c r="J32" s="366">
        <v>44135</v>
      </c>
      <c r="K32" s="366"/>
    </row>
    <row r="33" spans="1:11" x14ac:dyDescent="0.25">
      <c r="A33" t="s">
        <v>32</v>
      </c>
      <c r="B33" s="426">
        <v>10</v>
      </c>
      <c r="C33" s="443">
        <v>14</v>
      </c>
      <c r="D33" s="442" t="s">
        <v>35</v>
      </c>
      <c r="E33" s="427">
        <v>7</v>
      </c>
      <c r="F33" s="427">
        <v>6</v>
      </c>
      <c r="G33" s="443"/>
      <c r="H33" s="442" t="s">
        <v>409</v>
      </c>
      <c r="I33" t="s">
        <v>387</v>
      </c>
      <c r="J33" s="366">
        <v>44135</v>
      </c>
      <c r="K33" s="366"/>
    </row>
    <row r="34" spans="1:11" x14ac:dyDescent="0.25">
      <c r="A34" t="s">
        <v>33</v>
      </c>
      <c r="B34" s="426">
        <v>5</v>
      </c>
      <c r="C34" s="443">
        <v>34</v>
      </c>
      <c r="D34" s="442" t="s">
        <v>30</v>
      </c>
      <c r="E34" s="427">
        <v>5</v>
      </c>
      <c r="F34" s="427">
        <v>10</v>
      </c>
      <c r="G34" s="443"/>
      <c r="H34" s="442" t="s">
        <v>243</v>
      </c>
      <c r="I34" t="s">
        <v>318</v>
      </c>
      <c r="J34" s="366">
        <v>44135</v>
      </c>
      <c r="K34" s="366"/>
    </row>
    <row r="35" spans="1:11" x14ac:dyDescent="0.25">
      <c r="A35" t="s">
        <v>34</v>
      </c>
      <c r="B35" s="426">
        <v>35</v>
      </c>
      <c r="C35" s="443">
        <v>27</v>
      </c>
      <c r="D35" s="442" t="s">
        <v>39</v>
      </c>
      <c r="E35" s="427">
        <v>17</v>
      </c>
      <c r="F35" s="427">
        <v>13</v>
      </c>
      <c r="G35" s="443"/>
      <c r="H35" s="442" t="s">
        <v>243</v>
      </c>
      <c r="I35" t="s">
        <v>285</v>
      </c>
      <c r="J35" s="366">
        <v>44135</v>
      </c>
      <c r="K35" s="366"/>
    </row>
    <row r="36" spans="1:11" x14ac:dyDescent="0.25">
      <c r="A36" t="s">
        <v>106</v>
      </c>
      <c r="B36" s="426">
        <v>20</v>
      </c>
      <c r="C36" s="443">
        <v>32</v>
      </c>
      <c r="D36" s="442" t="s">
        <v>146</v>
      </c>
      <c r="E36" s="427">
        <v>10</v>
      </c>
      <c r="F36" s="427">
        <v>15</v>
      </c>
      <c r="G36" s="443"/>
      <c r="H36" s="442" t="s">
        <v>442</v>
      </c>
      <c r="I36" t="s">
        <v>439</v>
      </c>
      <c r="J36" s="366">
        <v>44136</v>
      </c>
      <c r="K36" s="366"/>
    </row>
    <row r="37" spans="1:11" x14ac:dyDescent="0.25">
      <c r="A37" t="s">
        <v>106</v>
      </c>
      <c r="B37" s="426">
        <v>19</v>
      </c>
      <c r="C37" s="443">
        <v>10</v>
      </c>
      <c r="D37" s="442" t="s">
        <v>146</v>
      </c>
      <c r="E37" s="427">
        <v>13</v>
      </c>
      <c r="F37" s="427">
        <v>0</v>
      </c>
      <c r="G37" s="443"/>
      <c r="H37" s="442" t="s">
        <v>441</v>
      </c>
      <c r="I37" t="s">
        <v>439</v>
      </c>
      <c r="J37" s="366">
        <v>44141</v>
      </c>
      <c r="K37" s="366"/>
    </row>
    <row r="38" spans="1:11" x14ac:dyDescent="0.25">
      <c r="A38" t="s">
        <v>29</v>
      </c>
      <c r="B38" s="426">
        <v>24</v>
      </c>
      <c r="C38" s="443">
        <v>22</v>
      </c>
      <c r="D38" s="442" t="s">
        <v>162</v>
      </c>
      <c r="E38" s="427">
        <v>8</v>
      </c>
      <c r="F38" s="427">
        <v>8</v>
      </c>
      <c r="G38" s="443"/>
      <c r="H38" s="442" t="s">
        <v>407</v>
      </c>
      <c r="I38" t="s">
        <v>448</v>
      </c>
      <c r="J38" s="366">
        <v>44142</v>
      </c>
      <c r="K38" s="366"/>
    </row>
    <row r="39" spans="1:11" x14ac:dyDescent="0.25">
      <c r="A39" t="s">
        <v>39</v>
      </c>
      <c r="B39" s="426">
        <v>32</v>
      </c>
      <c r="C39" s="443">
        <v>9</v>
      </c>
      <c r="D39" s="442" t="s">
        <v>32</v>
      </c>
      <c r="E39" s="427">
        <v>16</v>
      </c>
      <c r="F39" s="427">
        <v>6</v>
      </c>
      <c r="G39" s="675" t="s">
        <v>58</v>
      </c>
      <c r="H39" s="442" t="s">
        <v>452</v>
      </c>
      <c r="I39" t="s">
        <v>284</v>
      </c>
      <c r="J39" s="366">
        <v>44148</v>
      </c>
      <c r="K39" s="366"/>
    </row>
    <row r="40" spans="1:11" x14ac:dyDescent="0.25">
      <c r="A40" t="s">
        <v>37</v>
      </c>
      <c r="B40" s="426">
        <v>25</v>
      </c>
      <c r="C40" s="443">
        <v>15</v>
      </c>
      <c r="D40" s="442" t="s">
        <v>162</v>
      </c>
      <c r="E40" s="427">
        <v>16</v>
      </c>
      <c r="F40" s="427">
        <v>3</v>
      </c>
      <c r="G40" s="443"/>
      <c r="H40" s="442" t="s">
        <v>407</v>
      </c>
      <c r="I40" t="s">
        <v>457</v>
      </c>
      <c r="J40" s="366">
        <v>44149</v>
      </c>
      <c r="K40" s="366"/>
    </row>
    <row r="41" spans="1:11" x14ac:dyDescent="0.25">
      <c r="A41" t="s">
        <v>33</v>
      </c>
      <c r="B41" s="426">
        <v>17</v>
      </c>
      <c r="C41" s="443">
        <v>28</v>
      </c>
      <c r="D41" s="442" t="s">
        <v>35</v>
      </c>
      <c r="E41" s="427">
        <v>11</v>
      </c>
      <c r="F41" s="427">
        <v>7</v>
      </c>
      <c r="G41" s="443"/>
      <c r="H41" s="442" t="s">
        <v>452</v>
      </c>
      <c r="I41" t="s">
        <v>417</v>
      </c>
      <c r="J41" s="366">
        <v>44149</v>
      </c>
      <c r="K41" s="366"/>
    </row>
    <row r="42" spans="1:11" x14ac:dyDescent="0.25">
      <c r="A42" t="s">
        <v>30</v>
      </c>
      <c r="B42" s="426">
        <v>40</v>
      </c>
      <c r="C42" s="443">
        <v>0</v>
      </c>
      <c r="D42" s="442" t="s">
        <v>38</v>
      </c>
      <c r="E42" s="427">
        <v>26</v>
      </c>
      <c r="F42" s="427">
        <v>0</v>
      </c>
      <c r="G42" s="443"/>
      <c r="H42" s="442" t="s">
        <v>452</v>
      </c>
      <c r="I42" t="s">
        <v>287</v>
      </c>
      <c r="J42" s="366">
        <v>44149</v>
      </c>
      <c r="K42" s="366"/>
    </row>
    <row r="43" spans="1:11" x14ac:dyDescent="0.25">
      <c r="A43" t="s">
        <v>29</v>
      </c>
      <c r="B43" s="426">
        <v>15</v>
      </c>
      <c r="C43" s="443">
        <v>15</v>
      </c>
      <c r="D43" s="442" t="s">
        <v>37</v>
      </c>
      <c r="E43" s="427">
        <v>9</v>
      </c>
      <c r="F43" s="427">
        <v>6</v>
      </c>
      <c r="G43" s="443"/>
      <c r="H43" s="442" t="s">
        <v>472</v>
      </c>
      <c r="I43" t="s">
        <v>473</v>
      </c>
      <c r="J43" s="366">
        <v>44156</v>
      </c>
      <c r="K43" s="366"/>
    </row>
    <row r="44" spans="1:11" x14ac:dyDescent="0.25">
      <c r="A44" t="s">
        <v>30</v>
      </c>
      <c r="B44" s="426">
        <v>18</v>
      </c>
      <c r="C44" s="443">
        <v>7</v>
      </c>
      <c r="D44" s="442" t="s">
        <v>39</v>
      </c>
      <c r="E44" s="427">
        <v>12</v>
      </c>
      <c r="F44" s="427">
        <v>0</v>
      </c>
      <c r="G44" s="443"/>
      <c r="H44" s="442" t="s">
        <v>452</v>
      </c>
      <c r="I44" t="s">
        <v>287</v>
      </c>
      <c r="J44" s="366">
        <v>44156</v>
      </c>
      <c r="K44" s="366"/>
    </row>
    <row r="45" spans="1:11" x14ac:dyDescent="0.25">
      <c r="A45" t="s">
        <v>147</v>
      </c>
      <c r="B45" s="426">
        <v>30</v>
      </c>
      <c r="C45" s="443">
        <v>10</v>
      </c>
      <c r="D45" s="442" t="s">
        <v>471</v>
      </c>
      <c r="E45" s="427">
        <v>8</v>
      </c>
      <c r="F45" s="427">
        <v>0</v>
      </c>
      <c r="G45" s="443"/>
      <c r="H45" s="442" t="s">
        <v>395</v>
      </c>
      <c r="I45" t="s">
        <v>477</v>
      </c>
      <c r="J45" s="366">
        <v>44156</v>
      </c>
      <c r="K45" s="366"/>
    </row>
    <row r="46" spans="1:11" x14ac:dyDescent="0.25">
      <c r="A46" t="s">
        <v>32</v>
      </c>
      <c r="B46" s="426">
        <v>18</v>
      </c>
      <c r="C46" s="443">
        <v>0</v>
      </c>
      <c r="D46" s="442" t="s">
        <v>38</v>
      </c>
      <c r="E46" s="427">
        <v>10</v>
      </c>
      <c r="F46" s="427">
        <v>0</v>
      </c>
      <c r="G46" s="443"/>
      <c r="H46" s="442" t="s">
        <v>452</v>
      </c>
      <c r="I46" t="s">
        <v>387</v>
      </c>
      <c r="J46" s="366">
        <v>44156</v>
      </c>
      <c r="K46" s="366"/>
    </row>
    <row r="47" spans="1:11" x14ac:dyDescent="0.25">
      <c r="A47" t="s">
        <v>35</v>
      </c>
      <c r="B47">
        <v>15</v>
      </c>
      <c r="C47" s="443">
        <v>22</v>
      </c>
      <c r="D47" s="442" t="s">
        <v>34</v>
      </c>
      <c r="E47" s="427">
        <v>12</v>
      </c>
      <c r="F47" s="427">
        <v>12</v>
      </c>
      <c r="G47" s="443"/>
      <c r="H47" s="442" t="s">
        <v>452</v>
      </c>
      <c r="I47" t="s">
        <v>286</v>
      </c>
      <c r="J47" s="366">
        <v>44157</v>
      </c>
      <c r="K47" s="366"/>
    </row>
    <row r="48" spans="1:11" x14ac:dyDescent="0.25">
      <c r="A48" s="699" t="s">
        <v>37</v>
      </c>
      <c r="B48" s="426">
        <v>0</v>
      </c>
      <c r="C48" s="443">
        <v>38</v>
      </c>
      <c r="D48" s="442" t="s">
        <v>162</v>
      </c>
      <c r="E48" s="698">
        <v>0</v>
      </c>
      <c r="F48" s="698">
        <v>10</v>
      </c>
      <c r="G48" s="698"/>
      <c r="H48" s="442" t="s">
        <v>407</v>
      </c>
      <c r="I48" t="s">
        <v>473</v>
      </c>
      <c r="J48" s="366">
        <v>44163</v>
      </c>
      <c r="K48" s="366"/>
    </row>
    <row r="49" spans="1:11" x14ac:dyDescent="0.25">
      <c r="A49" s="699" t="s">
        <v>147</v>
      </c>
      <c r="B49" s="426">
        <v>33</v>
      </c>
      <c r="C49" s="443">
        <v>13</v>
      </c>
      <c r="D49" s="442" t="s">
        <v>471</v>
      </c>
      <c r="E49" s="427">
        <v>7</v>
      </c>
      <c r="F49" s="427">
        <v>6</v>
      </c>
      <c r="G49" s="443"/>
      <c r="H49" s="442" t="s">
        <v>395</v>
      </c>
      <c r="I49" s="366" t="s">
        <v>291</v>
      </c>
      <c r="J49" s="366">
        <v>44163</v>
      </c>
      <c r="K49" s="366"/>
    </row>
    <row r="50" spans="1:11" x14ac:dyDescent="0.25">
      <c r="A50" s="699" t="s">
        <v>32</v>
      </c>
      <c r="B50" s="426">
        <v>13</v>
      </c>
      <c r="C50" s="443">
        <v>24</v>
      </c>
      <c r="D50" s="442" t="s">
        <v>30</v>
      </c>
      <c r="E50" s="427">
        <v>7</v>
      </c>
      <c r="F50" s="427">
        <v>11</v>
      </c>
      <c r="G50" s="443"/>
      <c r="H50" s="442" t="s">
        <v>452</v>
      </c>
      <c r="I50" t="s">
        <v>387</v>
      </c>
      <c r="J50" s="366">
        <v>44163</v>
      </c>
      <c r="K50" s="366"/>
    </row>
    <row r="51" spans="1:11" x14ac:dyDescent="0.25">
      <c r="A51" s="699" t="s">
        <v>34</v>
      </c>
      <c r="B51" s="426">
        <v>36</v>
      </c>
      <c r="C51" s="443">
        <v>5</v>
      </c>
      <c r="D51" s="442" t="s">
        <v>33</v>
      </c>
      <c r="E51" s="427">
        <v>10</v>
      </c>
      <c r="F51" s="427">
        <v>5</v>
      </c>
      <c r="G51" s="443"/>
      <c r="H51" s="442" t="s">
        <v>452</v>
      </c>
      <c r="I51" t="s">
        <v>285</v>
      </c>
      <c r="J51" s="366">
        <v>44163</v>
      </c>
      <c r="K51" s="366"/>
    </row>
    <row r="52" spans="1:11" x14ac:dyDescent="0.25">
      <c r="A52" s="699" t="s">
        <v>39</v>
      </c>
      <c r="B52" s="426">
        <v>23</v>
      </c>
      <c r="C52" s="443">
        <v>10</v>
      </c>
      <c r="D52" s="442" t="s">
        <v>38</v>
      </c>
      <c r="E52" s="427">
        <v>20</v>
      </c>
      <c r="F52" s="427">
        <v>7</v>
      </c>
      <c r="G52" s="443"/>
      <c r="H52" s="442" t="s">
        <v>452</v>
      </c>
      <c r="I52" t="s">
        <v>284</v>
      </c>
      <c r="J52" s="366">
        <v>44164</v>
      </c>
      <c r="K52" s="366"/>
    </row>
    <row r="53" spans="1:11" x14ac:dyDescent="0.25">
      <c r="A53" s="701" t="s">
        <v>29</v>
      </c>
      <c r="B53" s="426">
        <v>16</v>
      </c>
      <c r="C53" s="443">
        <v>16</v>
      </c>
      <c r="D53" s="442" t="s">
        <v>37</v>
      </c>
      <c r="E53" s="427">
        <v>6</v>
      </c>
      <c r="F53" s="427">
        <v>13</v>
      </c>
      <c r="G53" s="443"/>
      <c r="H53" s="442" t="s">
        <v>472</v>
      </c>
      <c r="I53" t="s">
        <v>457</v>
      </c>
      <c r="J53" s="366">
        <v>44170</v>
      </c>
      <c r="K53" s="366"/>
    </row>
    <row r="54" spans="1:11" x14ac:dyDescent="0.25">
      <c r="A54" s="706" t="s">
        <v>38</v>
      </c>
      <c r="B54" s="426">
        <v>38</v>
      </c>
      <c r="C54" s="443">
        <v>24</v>
      </c>
      <c r="D54" s="442" t="s">
        <v>31</v>
      </c>
      <c r="E54" s="427">
        <v>10</v>
      </c>
      <c r="F54" s="427">
        <v>19</v>
      </c>
      <c r="G54" s="443"/>
      <c r="H54" s="442" t="s">
        <v>511</v>
      </c>
      <c r="I54" t="s">
        <v>286</v>
      </c>
      <c r="J54" s="366">
        <v>44170</v>
      </c>
      <c r="K54" s="366"/>
    </row>
    <row r="55" spans="1:11" x14ac:dyDescent="0.25">
      <c r="A55" s="706" t="s">
        <v>39</v>
      </c>
      <c r="B55" s="426">
        <v>31</v>
      </c>
      <c r="C55" s="443">
        <v>16</v>
      </c>
      <c r="D55" s="442" t="s">
        <v>35</v>
      </c>
      <c r="E55" s="427">
        <v>11</v>
      </c>
      <c r="F55" s="427">
        <v>9</v>
      </c>
      <c r="G55" s="443"/>
      <c r="H55" s="442" t="s">
        <v>512</v>
      </c>
      <c r="I55" t="s">
        <v>284</v>
      </c>
      <c r="J55" s="366">
        <v>44170</v>
      </c>
      <c r="K55" s="366"/>
    </row>
    <row r="56" spans="1:11" x14ac:dyDescent="0.25">
      <c r="A56" s="706" t="s">
        <v>32</v>
      </c>
      <c r="B56" s="426">
        <v>38</v>
      </c>
      <c r="C56" s="443">
        <v>18</v>
      </c>
      <c r="D56" s="442" t="s">
        <v>33</v>
      </c>
      <c r="E56" s="427">
        <v>13</v>
      </c>
      <c r="F56" s="427">
        <v>14</v>
      </c>
      <c r="G56" s="443"/>
      <c r="H56" s="442" t="s">
        <v>513</v>
      </c>
      <c r="I56" t="s">
        <v>387</v>
      </c>
      <c r="J56" s="366">
        <v>44170</v>
      </c>
      <c r="K56" s="366"/>
    </row>
    <row r="57" spans="1:11" x14ac:dyDescent="0.25">
      <c r="A57" s="706" t="s">
        <v>30</v>
      </c>
      <c r="B57" s="426">
        <v>22</v>
      </c>
      <c r="C57" s="443">
        <v>19</v>
      </c>
      <c r="D57" s="442" t="s">
        <v>34</v>
      </c>
      <c r="E57" s="427">
        <v>6</v>
      </c>
      <c r="F57" s="427">
        <v>13</v>
      </c>
      <c r="G57" s="443"/>
      <c r="H57" s="442" t="s">
        <v>526</v>
      </c>
      <c r="I57" t="s">
        <v>287</v>
      </c>
      <c r="J57" s="366">
        <v>44171</v>
      </c>
      <c r="K57" s="366"/>
    </row>
    <row r="58" spans="1:11" x14ac:dyDescent="0.25">
      <c r="A58" s="706" t="s">
        <v>58</v>
      </c>
      <c r="C58" s="443"/>
      <c r="D58" s="442"/>
      <c r="E58" s="711" t="s">
        <v>527</v>
      </c>
      <c r="F58" s="711"/>
      <c r="G58" s="711"/>
      <c r="H58" s="442"/>
      <c r="J58" s="366"/>
      <c r="K58" s="366"/>
    </row>
    <row r="59" spans="1:11" x14ac:dyDescent="0.25">
      <c r="A59" s="634" t="s">
        <v>28</v>
      </c>
      <c r="B59" s="426"/>
      <c r="C59" s="443"/>
      <c r="D59" s="442"/>
      <c r="E59" s="427"/>
      <c r="F59" s="427"/>
      <c r="G59" s="443"/>
      <c r="H59" s="442"/>
      <c r="J59" s="366"/>
      <c r="K59" s="366"/>
    </row>
    <row r="60" spans="1:11" x14ac:dyDescent="0.25">
      <c r="B60" s="426"/>
      <c r="C60" s="443"/>
      <c r="D60" s="442"/>
      <c r="E60" s="427"/>
      <c r="F60" s="427"/>
      <c r="G60" s="443"/>
      <c r="H60" s="442"/>
      <c r="J60" s="366"/>
      <c r="K60" s="366"/>
    </row>
    <row r="61" spans="1:11" x14ac:dyDescent="0.25">
      <c r="B61" s="426"/>
      <c r="C61" s="443"/>
      <c r="D61" s="442"/>
      <c r="E61" s="427"/>
      <c r="F61" s="427"/>
      <c r="G61" s="443"/>
      <c r="H61" s="442"/>
      <c r="J61" s="366"/>
      <c r="K61" s="366"/>
    </row>
    <row r="62" spans="1:11" x14ac:dyDescent="0.25">
      <c r="B62" s="426"/>
      <c r="C62" s="443"/>
      <c r="D62" s="442"/>
      <c r="E62" s="427"/>
      <c r="F62" s="427"/>
      <c r="G62" s="443"/>
      <c r="H62" s="442"/>
      <c r="J62" s="366"/>
      <c r="K62" s="366"/>
    </row>
    <row r="63" spans="1:11" x14ac:dyDescent="0.25">
      <c r="B63" s="426"/>
      <c r="C63" s="443"/>
      <c r="D63" s="442"/>
      <c r="E63" s="427"/>
      <c r="F63" s="427"/>
      <c r="G63" s="443"/>
      <c r="H63" s="442"/>
      <c r="J63" s="366"/>
      <c r="K63" s="366"/>
    </row>
    <row r="64" spans="1:11" x14ac:dyDescent="0.25">
      <c r="B64" s="426"/>
      <c r="C64" s="443"/>
      <c r="D64" s="442"/>
      <c r="E64" s="427"/>
      <c r="F64" s="427"/>
      <c r="G64" s="443"/>
      <c r="H64" s="442"/>
      <c r="J64" s="366"/>
      <c r="K64" s="366"/>
    </row>
    <row r="65" spans="2:11" x14ac:dyDescent="0.25">
      <c r="B65" s="426"/>
      <c r="C65" s="443"/>
      <c r="D65" s="442"/>
      <c r="E65" s="427"/>
      <c r="F65" s="427"/>
      <c r="G65" s="443"/>
      <c r="H65" s="442"/>
      <c r="J65" s="366"/>
      <c r="K65" s="366"/>
    </row>
    <row r="66" spans="2:11" x14ac:dyDescent="0.25">
      <c r="B66" s="426"/>
      <c r="C66" s="443"/>
      <c r="D66" s="442"/>
      <c r="E66" s="427"/>
      <c r="F66" s="427"/>
      <c r="G66" s="443"/>
      <c r="H66" s="442"/>
      <c r="J66" s="366"/>
      <c r="K66" s="366"/>
    </row>
    <row r="67" spans="2:11" x14ac:dyDescent="0.25">
      <c r="B67" s="426"/>
      <c r="C67" s="443"/>
      <c r="D67" s="442"/>
      <c r="E67" s="427"/>
      <c r="F67" s="427"/>
      <c r="G67" s="443"/>
      <c r="H67" s="442"/>
      <c r="J67" s="366"/>
      <c r="K67" s="366"/>
    </row>
    <row r="68" spans="2:11" x14ac:dyDescent="0.25">
      <c r="B68" s="426"/>
      <c r="C68" s="443"/>
      <c r="D68" s="442"/>
      <c r="E68" s="427"/>
      <c r="F68" s="427"/>
      <c r="G68" s="443"/>
      <c r="H68" s="442"/>
      <c r="J68" s="366"/>
      <c r="K68" s="366"/>
    </row>
    <row r="69" spans="2:11" x14ac:dyDescent="0.25">
      <c r="B69" s="426"/>
      <c r="C69" s="443"/>
      <c r="D69" s="442"/>
      <c r="E69" s="427"/>
      <c r="F69" s="427"/>
      <c r="G69" s="443"/>
      <c r="H69" s="442"/>
      <c r="J69" s="366"/>
      <c r="K69" s="366"/>
    </row>
    <row r="70" spans="2:11" x14ac:dyDescent="0.25">
      <c r="B70" s="426"/>
      <c r="C70" s="443"/>
      <c r="D70" s="442"/>
      <c r="E70" s="427"/>
      <c r="F70" s="427"/>
      <c r="G70" s="443"/>
      <c r="H70" s="442"/>
      <c r="J70" s="366"/>
      <c r="K70" s="366"/>
    </row>
    <row r="71" spans="2:11" x14ac:dyDescent="0.25">
      <c r="B71" s="426"/>
      <c r="C71" s="443"/>
      <c r="D71" s="442"/>
      <c r="E71" s="427"/>
      <c r="F71" s="427"/>
      <c r="G71" s="443"/>
      <c r="H71" s="442"/>
      <c r="J71" s="366"/>
      <c r="K71" s="366"/>
    </row>
    <row r="72" spans="2:11" x14ac:dyDescent="0.25">
      <c r="B72" s="426"/>
      <c r="C72" s="443"/>
      <c r="D72" s="442"/>
      <c r="E72" s="427"/>
      <c r="F72" s="427"/>
      <c r="G72" s="443"/>
      <c r="H72" s="442"/>
      <c r="J72" s="366"/>
      <c r="K72" s="366"/>
    </row>
    <row r="73" spans="2:11" x14ac:dyDescent="0.25">
      <c r="B73" s="426"/>
      <c r="C73" s="443"/>
      <c r="D73" s="442"/>
      <c r="E73" s="427"/>
      <c r="F73" s="427"/>
      <c r="G73" s="443"/>
      <c r="H73" s="442"/>
      <c r="J73" s="366"/>
      <c r="K73" s="366"/>
    </row>
    <row r="74" spans="2:11" x14ac:dyDescent="0.25">
      <c r="B74" s="426"/>
      <c r="C74" s="443"/>
      <c r="D74" s="442"/>
      <c r="E74" s="427"/>
      <c r="F74" s="427"/>
      <c r="G74" s="443"/>
      <c r="H74" s="442"/>
      <c r="J74" s="366"/>
      <c r="K74" s="366"/>
    </row>
    <row r="75" spans="2:11" x14ac:dyDescent="0.25">
      <c r="B75" s="426"/>
      <c r="C75" s="443"/>
      <c r="D75" s="442"/>
      <c r="E75" s="427"/>
      <c r="F75" s="427"/>
      <c r="G75" s="443"/>
      <c r="H75" s="442"/>
      <c r="J75" s="366"/>
      <c r="K75" s="366"/>
    </row>
    <row r="76" spans="2:11" x14ac:dyDescent="0.25">
      <c r="B76" s="426"/>
      <c r="C76" s="443"/>
      <c r="D76" s="442"/>
      <c r="E76" s="427"/>
      <c r="F76" s="427"/>
      <c r="G76" s="443"/>
      <c r="H76" s="442"/>
      <c r="J76" s="366"/>
      <c r="K76" s="366"/>
    </row>
    <row r="77" spans="2:11" x14ac:dyDescent="0.25">
      <c r="B77" s="426"/>
      <c r="C77" s="443"/>
      <c r="D77" s="442"/>
      <c r="E77" s="427"/>
      <c r="F77" s="427"/>
      <c r="G77" s="443"/>
      <c r="H77" s="442"/>
      <c r="J77" s="366"/>
      <c r="K77" s="366"/>
    </row>
    <row r="78" spans="2:11" x14ac:dyDescent="0.25">
      <c r="B78" s="426"/>
      <c r="C78" s="443"/>
      <c r="D78" s="442"/>
      <c r="E78" s="427"/>
      <c r="F78" s="427"/>
      <c r="G78" s="443"/>
      <c r="H78" s="442"/>
      <c r="J78" s="366"/>
      <c r="K78" s="366"/>
    </row>
    <row r="79" spans="2:11" x14ac:dyDescent="0.25">
      <c r="B79" s="426"/>
      <c r="C79" s="443"/>
      <c r="D79" s="442"/>
      <c r="E79" s="427"/>
      <c r="F79" s="427"/>
      <c r="G79" s="443"/>
      <c r="H79" s="442"/>
      <c r="J79" s="366"/>
      <c r="K79" s="366"/>
    </row>
    <row r="80" spans="2:11" x14ac:dyDescent="0.25">
      <c r="B80" s="426"/>
      <c r="C80" s="443"/>
      <c r="D80" s="442"/>
      <c r="E80" s="427"/>
      <c r="F80" s="427"/>
      <c r="G80" s="443"/>
      <c r="H80" s="442"/>
      <c r="J80" s="366"/>
      <c r="K80" s="366"/>
    </row>
    <row r="81" spans="2:11" x14ac:dyDescent="0.25">
      <c r="B81" s="426"/>
      <c r="C81" s="443"/>
      <c r="D81" s="442"/>
      <c r="E81" s="427"/>
      <c r="F81" s="427"/>
      <c r="G81" s="443"/>
      <c r="H81" s="442"/>
      <c r="J81" s="366"/>
      <c r="K81" s="366"/>
    </row>
    <row r="82" spans="2:11" x14ac:dyDescent="0.25">
      <c r="B82" s="426"/>
      <c r="C82" s="443"/>
      <c r="D82" s="442"/>
      <c r="E82" s="427"/>
      <c r="F82" s="427"/>
      <c r="G82" s="443"/>
      <c r="H82" s="442"/>
      <c r="J82" s="366"/>
      <c r="K82" s="366"/>
    </row>
    <row r="83" spans="2:11" x14ac:dyDescent="0.25">
      <c r="B83" s="426"/>
      <c r="C83" s="443"/>
      <c r="D83" s="442"/>
      <c r="E83" s="427"/>
      <c r="F83" s="427"/>
      <c r="G83" s="443"/>
      <c r="H83" s="442"/>
      <c r="J83" s="366"/>
      <c r="K83" s="366"/>
    </row>
    <row r="84" spans="2:11" x14ac:dyDescent="0.25">
      <c r="B84" s="426"/>
      <c r="C84" s="443"/>
      <c r="D84" s="442"/>
      <c r="E84" s="427"/>
      <c r="F84" s="427"/>
      <c r="G84" s="443"/>
      <c r="H84" s="442"/>
      <c r="J84" s="366"/>
      <c r="K84" s="366"/>
    </row>
    <row r="85" spans="2:11" x14ac:dyDescent="0.25">
      <c r="B85" s="426"/>
      <c r="C85" s="443"/>
      <c r="D85" s="442"/>
      <c r="E85" s="427"/>
      <c r="F85" s="427"/>
      <c r="G85" s="443"/>
      <c r="H85" s="442"/>
      <c r="J85" s="366"/>
      <c r="K85" s="366"/>
    </row>
    <row r="86" spans="2:11" x14ac:dyDescent="0.25">
      <c r="B86" s="426"/>
      <c r="C86" s="443"/>
      <c r="D86" s="442"/>
      <c r="E86" s="427"/>
      <c r="F86" s="427"/>
      <c r="G86" s="443"/>
      <c r="H86" s="442"/>
      <c r="J86" s="366"/>
      <c r="K86" s="366"/>
    </row>
    <row r="87" spans="2:11" x14ac:dyDescent="0.25">
      <c r="B87" s="426"/>
      <c r="C87" s="443"/>
      <c r="D87" s="442"/>
      <c r="E87" s="427"/>
      <c r="F87" s="427"/>
      <c r="G87" s="443"/>
      <c r="H87" s="442"/>
      <c r="J87" s="366"/>
      <c r="K87" s="366"/>
    </row>
    <row r="88" spans="2:11" x14ac:dyDescent="0.25">
      <c r="B88" s="426"/>
      <c r="C88" s="443"/>
      <c r="D88" s="442"/>
      <c r="E88" s="427"/>
      <c r="F88" s="427"/>
      <c r="G88" s="443"/>
      <c r="H88" s="442"/>
      <c r="J88" s="366"/>
      <c r="K88" s="366"/>
    </row>
    <row r="89" spans="2:11" x14ac:dyDescent="0.25">
      <c r="B89" s="426"/>
      <c r="C89" s="443"/>
      <c r="D89" s="442"/>
      <c r="E89" s="427"/>
      <c r="F89" s="427"/>
      <c r="G89" s="443"/>
      <c r="H89" s="442"/>
      <c r="J89" s="366"/>
      <c r="K89" s="366"/>
    </row>
    <row r="90" spans="2:11" x14ac:dyDescent="0.25">
      <c r="B90" s="426"/>
      <c r="C90" s="443"/>
      <c r="D90" s="442"/>
      <c r="E90" s="427"/>
      <c r="F90" s="427"/>
      <c r="G90" s="443"/>
      <c r="H90" s="442"/>
      <c r="J90" s="366"/>
      <c r="K90" s="366"/>
    </row>
    <row r="91" spans="2:11" x14ac:dyDescent="0.25">
      <c r="B91" s="426"/>
      <c r="C91" s="443"/>
      <c r="D91" s="442"/>
      <c r="E91" s="427"/>
      <c r="F91" s="427"/>
      <c r="G91" s="443"/>
      <c r="H91" s="442"/>
      <c r="J91" s="366"/>
      <c r="K91" s="366"/>
    </row>
    <row r="92" spans="2:11" x14ac:dyDescent="0.25">
      <c r="B92" s="426"/>
      <c r="C92" s="443"/>
      <c r="D92" s="442"/>
      <c r="E92" s="427"/>
      <c r="F92" s="427"/>
      <c r="G92" s="443"/>
      <c r="H92" s="442"/>
      <c r="J92" s="366"/>
      <c r="K92" s="366"/>
    </row>
    <row r="93" spans="2:11" x14ac:dyDescent="0.25">
      <c r="B93" s="426"/>
      <c r="C93" s="443"/>
      <c r="D93" s="442"/>
      <c r="E93" s="427"/>
      <c r="F93" s="427"/>
      <c r="G93" s="443"/>
      <c r="H93" s="442"/>
      <c r="J93" s="366"/>
      <c r="K93" s="366"/>
    </row>
    <row r="94" spans="2:11" x14ac:dyDescent="0.25">
      <c r="B94" s="426"/>
      <c r="C94" s="443"/>
      <c r="D94" s="442"/>
      <c r="E94" s="427"/>
      <c r="F94" s="427"/>
      <c r="G94" s="443"/>
      <c r="H94" s="442"/>
      <c r="J94" s="366"/>
      <c r="K94" s="366"/>
    </row>
    <row r="95" spans="2:11" x14ac:dyDescent="0.25">
      <c r="B95" s="426"/>
      <c r="C95" s="443"/>
      <c r="D95" s="442"/>
      <c r="E95" s="427"/>
      <c r="F95" s="427"/>
      <c r="G95" s="443"/>
      <c r="H95" s="442"/>
      <c r="J95" s="366"/>
      <c r="K95" s="366"/>
    </row>
    <row r="96" spans="2:11" x14ac:dyDescent="0.25">
      <c r="B96" s="426"/>
      <c r="C96" s="443"/>
      <c r="D96" s="442"/>
      <c r="E96" s="427"/>
      <c r="F96" s="427"/>
      <c r="G96" s="443"/>
      <c r="H96" s="442"/>
      <c r="J96" s="366"/>
      <c r="K96" s="366"/>
    </row>
    <row r="97" spans="2:11" x14ac:dyDescent="0.25">
      <c r="B97" s="426"/>
      <c r="C97" s="443"/>
      <c r="D97" s="442"/>
      <c r="E97" s="427"/>
      <c r="F97" s="427"/>
      <c r="G97" s="443"/>
      <c r="H97" s="442"/>
      <c r="J97" s="366"/>
      <c r="K97" s="366"/>
    </row>
    <row r="98" spans="2:11" x14ac:dyDescent="0.25">
      <c r="B98" s="426"/>
      <c r="C98" s="443"/>
      <c r="D98" s="442"/>
      <c r="E98" s="427"/>
      <c r="F98" s="427"/>
      <c r="G98" s="443"/>
      <c r="H98" s="442"/>
      <c r="J98" s="366"/>
      <c r="K98" s="366"/>
    </row>
    <row r="99" spans="2:11" x14ac:dyDescent="0.25">
      <c r="B99" s="426"/>
      <c r="C99" s="443"/>
      <c r="D99" s="442"/>
      <c r="E99" s="427"/>
      <c r="F99" s="427"/>
      <c r="G99" s="443"/>
      <c r="H99" s="442"/>
      <c r="J99" s="366"/>
      <c r="K99" s="366"/>
    </row>
    <row r="100" spans="2:11" x14ac:dyDescent="0.25">
      <c r="B100" s="426"/>
      <c r="C100" s="443"/>
      <c r="D100" s="442"/>
      <c r="E100" s="427"/>
      <c r="F100" s="427"/>
      <c r="G100" s="443"/>
      <c r="H100" s="442"/>
      <c r="J100" s="366"/>
      <c r="K100" s="366"/>
    </row>
    <row r="101" spans="2:11" x14ac:dyDescent="0.25">
      <c r="B101" s="426"/>
      <c r="C101" s="443"/>
      <c r="D101" s="442"/>
      <c r="E101" s="427"/>
      <c r="F101" s="427"/>
      <c r="G101" s="443"/>
      <c r="H101" s="442"/>
      <c r="J101" s="366"/>
      <c r="K101" s="366"/>
    </row>
    <row r="102" spans="2:11" x14ac:dyDescent="0.25">
      <c r="B102" s="426"/>
      <c r="C102" s="443"/>
      <c r="D102" s="442"/>
      <c r="E102" s="427"/>
      <c r="F102" s="427"/>
      <c r="G102" s="443"/>
      <c r="H102" s="442"/>
      <c r="J102" s="366"/>
      <c r="K102" s="366"/>
    </row>
    <row r="103" spans="2:11" x14ac:dyDescent="0.25">
      <c r="B103" s="426"/>
      <c r="C103" s="443"/>
      <c r="D103" s="442"/>
      <c r="E103" s="427"/>
      <c r="F103" s="427"/>
      <c r="G103" s="443"/>
      <c r="H103" s="442"/>
      <c r="J103" s="366"/>
      <c r="K103" s="366"/>
    </row>
    <row r="104" spans="2:11" x14ac:dyDescent="0.25">
      <c r="B104" s="426"/>
      <c r="C104" s="443"/>
      <c r="D104" s="442"/>
      <c r="E104" s="427"/>
      <c r="F104" s="427"/>
      <c r="G104" s="443"/>
      <c r="H104" s="442"/>
      <c r="J104" s="366"/>
      <c r="K104" s="366"/>
    </row>
    <row r="105" spans="2:11" x14ac:dyDescent="0.25">
      <c r="B105" s="426"/>
      <c r="C105" s="443"/>
      <c r="D105" s="442"/>
      <c r="E105" s="427"/>
      <c r="F105" s="427"/>
      <c r="G105" s="443"/>
      <c r="H105" s="442"/>
      <c r="J105" s="366"/>
      <c r="K105" s="366"/>
    </row>
    <row r="106" spans="2:11" x14ac:dyDescent="0.25">
      <c r="B106" s="426"/>
      <c r="C106" s="443"/>
      <c r="D106" s="442"/>
      <c r="E106" s="427"/>
      <c r="F106" s="427"/>
      <c r="G106" s="443"/>
      <c r="H106" s="442"/>
      <c r="J106" s="366"/>
      <c r="K106" s="366"/>
    </row>
    <row r="107" spans="2:11" x14ac:dyDescent="0.25">
      <c r="B107" s="426"/>
      <c r="C107" s="443"/>
      <c r="D107" s="442"/>
      <c r="E107" s="427"/>
      <c r="F107" s="427"/>
      <c r="G107" s="443"/>
      <c r="H107" s="442"/>
      <c r="J107" s="366"/>
      <c r="K107" s="366"/>
    </row>
    <row r="108" spans="2:11" x14ac:dyDescent="0.25">
      <c r="B108" s="426"/>
      <c r="C108" s="443"/>
      <c r="D108" s="442"/>
      <c r="E108" s="427"/>
      <c r="F108" s="427"/>
      <c r="G108" s="443"/>
      <c r="H108" s="442"/>
      <c r="J108" s="366"/>
      <c r="K108" s="366"/>
    </row>
    <row r="109" spans="2:11" x14ac:dyDescent="0.25">
      <c r="B109" s="426"/>
      <c r="C109" s="443"/>
      <c r="D109" s="442"/>
      <c r="E109" s="427"/>
      <c r="F109" s="427"/>
      <c r="G109" s="443"/>
      <c r="H109" s="442"/>
      <c r="J109" s="366"/>
      <c r="K109" s="366"/>
    </row>
    <row r="110" spans="2:11" x14ac:dyDescent="0.25">
      <c r="B110" s="426"/>
      <c r="C110" s="443"/>
      <c r="D110" s="442"/>
      <c r="E110" s="427"/>
      <c r="F110" s="427"/>
      <c r="G110" s="443"/>
      <c r="H110" s="442"/>
      <c r="J110" s="366"/>
      <c r="K110" s="366"/>
    </row>
    <row r="111" spans="2:11" x14ac:dyDescent="0.25">
      <c r="B111" s="426"/>
      <c r="C111" s="443"/>
      <c r="D111" s="442"/>
      <c r="E111" s="427"/>
      <c r="F111" s="427"/>
      <c r="G111" s="443"/>
      <c r="H111" s="442"/>
      <c r="J111" s="366"/>
      <c r="K111" s="366"/>
    </row>
    <row r="112" spans="2:11" x14ac:dyDescent="0.25">
      <c r="B112" s="426"/>
      <c r="C112" s="443"/>
      <c r="D112" s="442"/>
      <c r="E112" s="427"/>
      <c r="F112" s="427"/>
      <c r="G112" s="443"/>
      <c r="H112" s="442"/>
      <c r="J112" s="366"/>
      <c r="K112" s="366"/>
    </row>
    <row r="113" spans="2:11" x14ac:dyDescent="0.25">
      <c r="B113" s="426"/>
      <c r="C113" s="443"/>
      <c r="D113" s="442"/>
      <c r="E113" s="427"/>
      <c r="F113" s="427"/>
      <c r="G113" s="443"/>
      <c r="H113" s="442"/>
      <c r="J113" s="366"/>
      <c r="K113" s="366"/>
    </row>
    <row r="114" spans="2:11" x14ac:dyDescent="0.25">
      <c r="B114" s="426"/>
      <c r="C114" s="443"/>
      <c r="D114" s="442"/>
      <c r="E114" s="427"/>
      <c r="F114" s="427"/>
      <c r="G114" s="443"/>
      <c r="H114" s="442"/>
      <c r="J114" s="366"/>
      <c r="K114" s="366"/>
    </row>
    <row r="115" spans="2:11" x14ac:dyDescent="0.25">
      <c r="B115" s="426"/>
      <c r="C115" s="443"/>
      <c r="D115" s="442"/>
      <c r="E115" s="427"/>
      <c r="F115" s="427"/>
      <c r="G115" s="443"/>
      <c r="H115" s="442"/>
      <c r="J115" s="366"/>
      <c r="K115" s="366"/>
    </row>
    <row r="116" spans="2:11" x14ac:dyDescent="0.25">
      <c r="B116" s="426"/>
      <c r="C116" s="443"/>
      <c r="D116" s="442"/>
      <c r="E116" s="427"/>
      <c r="F116" s="427"/>
      <c r="G116" s="443"/>
      <c r="H116" s="442"/>
      <c r="J116" s="366"/>
      <c r="K116" s="366"/>
    </row>
    <row r="117" spans="2:11" x14ac:dyDescent="0.25">
      <c r="B117" s="426"/>
      <c r="C117" s="443"/>
      <c r="D117" s="442"/>
      <c r="E117" s="427"/>
      <c r="F117" s="427"/>
      <c r="G117" s="443"/>
      <c r="H117" s="442"/>
      <c r="J117" s="366"/>
      <c r="K117" s="366"/>
    </row>
    <row r="118" spans="2:11" x14ac:dyDescent="0.25">
      <c r="B118" s="426"/>
      <c r="C118" s="443"/>
      <c r="D118" s="442"/>
      <c r="E118" s="427"/>
      <c r="F118" s="427"/>
      <c r="G118" s="443"/>
      <c r="H118" s="442"/>
      <c r="J118" s="366"/>
      <c r="K118" s="366"/>
    </row>
    <row r="119" spans="2:11" x14ac:dyDescent="0.25">
      <c r="B119" s="426"/>
      <c r="C119" s="443"/>
      <c r="D119" s="442"/>
      <c r="E119" s="427"/>
      <c r="F119" s="427"/>
      <c r="G119" s="443"/>
      <c r="H119" s="442"/>
      <c r="J119" s="366"/>
      <c r="K119" s="366"/>
    </row>
    <row r="120" spans="2:11" x14ac:dyDescent="0.25">
      <c r="B120" s="426"/>
      <c r="C120" s="443"/>
      <c r="D120" s="442"/>
      <c r="E120" s="427"/>
      <c r="F120" s="427"/>
      <c r="G120" s="443"/>
      <c r="H120" s="442"/>
      <c r="J120" s="366"/>
      <c r="K120" s="366"/>
    </row>
    <row r="121" spans="2:11" x14ac:dyDescent="0.25">
      <c r="B121" s="426"/>
      <c r="C121" s="443"/>
      <c r="D121" s="442"/>
      <c r="E121" s="427"/>
      <c r="F121" s="427"/>
      <c r="G121" s="443"/>
      <c r="H121" s="442"/>
      <c r="J121" s="366"/>
      <c r="K121" s="366"/>
    </row>
    <row r="122" spans="2:11" x14ac:dyDescent="0.25">
      <c r="B122" s="426"/>
      <c r="C122" s="443"/>
      <c r="D122" s="442"/>
      <c r="E122" s="427"/>
      <c r="F122" s="427"/>
      <c r="G122" s="443"/>
      <c r="H122" s="442"/>
      <c r="J122" s="366"/>
      <c r="K122" s="366"/>
    </row>
    <row r="123" spans="2:11" x14ac:dyDescent="0.25">
      <c r="B123" s="426"/>
      <c r="C123" s="443"/>
      <c r="D123" s="442"/>
      <c r="E123" s="427"/>
      <c r="F123" s="427"/>
      <c r="G123" s="443"/>
      <c r="H123" s="442"/>
      <c r="J123" s="366"/>
      <c r="K123" s="366"/>
    </row>
    <row r="124" spans="2:11" x14ac:dyDescent="0.25">
      <c r="B124" s="426"/>
      <c r="C124" s="443"/>
      <c r="D124" s="442"/>
      <c r="G124" s="443"/>
      <c r="H124" s="442"/>
      <c r="J124" s="366"/>
      <c r="K124" s="366"/>
    </row>
    <row r="125" spans="2:11" x14ac:dyDescent="0.25">
      <c r="B125" s="426"/>
      <c r="C125" s="443"/>
      <c r="D125" s="442"/>
      <c r="G125" s="443"/>
      <c r="H125" s="442"/>
      <c r="J125" s="366"/>
      <c r="K125" s="366"/>
    </row>
    <row r="126" spans="2:11" x14ac:dyDescent="0.25">
      <c r="B126" s="426"/>
      <c r="C126" s="443"/>
      <c r="D126" s="442"/>
      <c r="G126" s="443"/>
      <c r="H126" s="442"/>
      <c r="J126" s="366"/>
      <c r="K126" s="366"/>
    </row>
    <row r="127" spans="2:11" x14ac:dyDescent="0.25">
      <c r="B127" s="426"/>
      <c r="C127" s="443"/>
      <c r="D127" s="442"/>
      <c r="G127" s="443"/>
      <c r="H127" s="442"/>
      <c r="J127" s="366"/>
      <c r="K127" s="366"/>
    </row>
    <row r="128" spans="2:11" x14ac:dyDescent="0.25">
      <c r="B128" s="426"/>
      <c r="C128" s="443"/>
      <c r="D128" s="442"/>
      <c r="G128" s="443"/>
      <c r="H128" s="442"/>
      <c r="J128" s="366"/>
      <c r="K128" s="366"/>
    </row>
    <row r="129" spans="2:11" x14ac:dyDescent="0.25">
      <c r="B129" s="426"/>
      <c r="C129" s="443"/>
      <c r="D129" s="442"/>
      <c r="G129" s="443"/>
      <c r="H129" s="442"/>
      <c r="J129" s="366"/>
      <c r="K129" s="366"/>
    </row>
    <row r="130" spans="2:11" x14ac:dyDescent="0.25">
      <c r="B130" s="426"/>
      <c r="C130" s="443"/>
      <c r="D130" s="442"/>
      <c r="G130" s="443"/>
      <c r="H130" s="442"/>
      <c r="J130" s="366"/>
      <c r="K130" s="366"/>
    </row>
    <row r="131" spans="2:11" x14ac:dyDescent="0.25">
      <c r="B131" s="426"/>
      <c r="C131" s="443"/>
      <c r="D131" s="442"/>
      <c r="G131" s="443"/>
      <c r="H131" s="442"/>
      <c r="J131" s="366"/>
      <c r="K131" s="366"/>
    </row>
    <row r="132" spans="2:11" x14ac:dyDescent="0.25">
      <c r="B132" s="426"/>
      <c r="C132" s="443"/>
      <c r="D132" s="442"/>
      <c r="G132" s="443"/>
      <c r="H132" s="442"/>
      <c r="J132" s="366"/>
      <c r="K132" s="366"/>
    </row>
    <row r="133" spans="2:11" x14ac:dyDescent="0.25">
      <c r="B133" s="426"/>
      <c r="C133" s="443"/>
      <c r="D133" s="442"/>
      <c r="G133" s="443"/>
      <c r="H133" s="442"/>
      <c r="J133" s="366"/>
      <c r="K133" s="366"/>
    </row>
    <row r="134" spans="2:11" x14ac:dyDescent="0.25">
      <c r="B134" s="426"/>
      <c r="C134" s="443"/>
      <c r="D134" s="442"/>
      <c r="G134" s="443"/>
      <c r="H134" s="442"/>
      <c r="J134" s="366"/>
      <c r="K134" s="366"/>
    </row>
    <row r="135" spans="2:11" x14ac:dyDescent="0.25">
      <c r="B135" s="426"/>
      <c r="C135" s="443"/>
      <c r="D135" s="442"/>
      <c r="G135" s="443"/>
      <c r="H135" s="442"/>
      <c r="J135" s="366"/>
      <c r="K135" s="366"/>
    </row>
    <row r="136" spans="2:11" x14ac:dyDescent="0.25">
      <c r="B136" s="426"/>
      <c r="C136" s="443"/>
      <c r="D136" s="442"/>
      <c r="G136" s="443"/>
      <c r="H136" s="442"/>
      <c r="J136" s="366"/>
      <c r="K136" s="366"/>
    </row>
    <row r="137" spans="2:11" x14ac:dyDescent="0.25">
      <c r="B137" s="426"/>
      <c r="C137" s="443"/>
      <c r="D137" s="442"/>
      <c r="G137" s="443"/>
      <c r="H137" s="442"/>
      <c r="J137" s="366"/>
      <c r="K137" s="366"/>
    </row>
    <row r="138" spans="2:11" x14ac:dyDescent="0.25">
      <c r="B138" s="426"/>
      <c r="C138" s="443"/>
      <c r="D138" s="442"/>
      <c r="G138" s="443"/>
      <c r="H138" s="442"/>
      <c r="J138" s="366"/>
      <c r="K138" s="366"/>
    </row>
    <row r="139" spans="2:11" x14ac:dyDescent="0.25">
      <c r="B139" s="426"/>
      <c r="C139" s="443"/>
      <c r="D139" s="442"/>
      <c r="G139" s="443"/>
      <c r="H139" s="442"/>
      <c r="J139" s="366"/>
      <c r="K139" s="366"/>
    </row>
    <row r="140" spans="2:11" x14ac:dyDescent="0.25">
      <c r="B140" s="426"/>
      <c r="C140" s="443"/>
      <c r="D140" s="442"/>
      <c r="G140" s="443"/>
      <c r="H140" s="442"/>
      <c r="J140" s="366"/>
      <c r="K140" s="366"/>
    </row>
    <row r="141" spans="2:11" x14ac:dyDescent="0.25">
      <c r="B141" s="426"/>
      <c r="C141" s="443"/>
      <c r="D141" s="442"/>
      <c r="G141" s="443"/>
      <c r="H141" s="442"/>
      <c r="J141" s="366"/>
      <c r="K141" s="366"/>
    </row>
    <row r="142" spans="2:11" x14ac:dyDescent="0.25">
      <c r="B142" s="426"/>
      <c r="C142" s="443"/>
      <c r="D142" s="442"/>
      <c r="G142" s="443"/>
      <c r="H142" s="442"/>
      <c r="J142" s="366"/>
      <c r="K142" s="366"/>
    </row>
    <row r="143" spans="2:11" x14ac:dyDescent="0.25">
      <c r="B143" s="426"/>
      <c r="C143" s="443"/>
      <c r="D143" s="442"/>
      <c r="G143" s="443"/>
      <c r="H143" s="442"/>
      <c r="J143" s="366"/>
      <c r="K143" s="366"/>
    </row>
    <row r="144" spans="2:11" x14ac:dyDescent="0.25">
      <c r="B144" s="426"/>
      <c r="C144" s="443"/>
      <c r="D144" s="442"/>
      <c r="G144" s="443"/>
      <c r="H144" s="442"/>
      <c r="J144" s="366"/>
      <c r="K144" s="366"/>
    </row>
    <row r="145" spans="2:11" x14ac:dyDescent="0.25">
      <c r="B145" s="426"/>
      <c r="C145" s="443"/>
      <c r="D145" s="442"/>
      <c r="G145" s="443"/>
      <c r="H145" s="442"/>
      <c r="J145" s="366"/>
      <c r="K145" s="366"/>
    </row>
    <row r="146" spans="2:11" x14ac:dyDescent="0.25">
      <c r="B146" s="426"/>
      <c r="C146" s="443"/>
      <c r="D146" s="442"/>
      <c r="G146" s="443"/>
      <c r="H146" s="442"/>
      <c r="J146" s="366"/>
      <c r="K146" s="366"/>
    </row>
    <row r="147" spans="2:11" x14ac:dyDescent="0.25">
      <c r="B147" s="426"/>
      <c r="C147" s="443"/>
      <c r="D147" s="442"/>
      <c r="G147" s="443"/>
      <c r="H147" s="442"/>
      <c r="J147" s="366"/>
      <c r="K147" s="366"/>
    </row>
    <row r="148" spans="2:11" x14ac:dyDescent="0.25">
      <c r="B148" s="426"/>
      <c r="C148" s="443"/>
      <c r="D148" s="442"/>
      <c r="G148" s="443"/>
      <c r="H148" s="442"/>
      <c r="J148" s="366"/>
      <c r="K148" s="366"/>
    </row>
    <row r="149" spans="2:11" x14ac:dyDescent="0.25">
      <c r="B149" s="426"/>
      <c r="C149" s="443"/>
      <c r="D149" s="442"/>
      <c r="G149" s="443"/>
      <c r="H149" s="442"/>
      <c r="J149" s="366"/>
      <c r="K149" s="366"/>
    </row>
    <row r="150" spans="2:11" x14ac:dyDescent="0.25">
      <c r="B150" s="426"/>
      <c r="C150" s="443"/>
      <c r="D150" s="442"/>
      <c r="G150" s="443"/>
      <c r="H150" s="442"/>
      <c r="J150" s="366"/>
      <c r="K150" s="366"/>
    </row>
    <row r="151" spans="2:11" x14ac:dyDescent="0.25">
      <c r="B151" s="426"/>
      <c r="C151" s="443"/>
      <c r="D151" s="442"/>
      <c r="G151" s="443"/>
      <c r="H151" s="442"/>
      <c r="J151" s="366"/>
      <c r="K151" s="366"/>
    </row>
    <row r="152" spans="2:11" x14ac:dyDescent="0.25">
      <c r="B152" s="426"/>
      <c r="C152" s="443"/>
      <c r="D152" s="442"/>
      <c r="G152" s="443"/>
      <c r="H152" s="442"/>
      <c r="J152" s="366"/>
      <c r="K152" s="366"/>
    </row>
    <row r="153" spans="2:11" x14ac:dyDescent="0.25">
      <c r="B153" s="426"/>
      <c r="C153" s="443"/>
      <c r="D153" s="442"/>
      <c r="G153" s="443"/>
      <c r="H153" s="442"/>
      <c r="J153" s="366"/>
      <c r="K153" s="366"/>
    </row>
    <row r="154" spans="2:11" x14ac:dyDescent="0.25">
      <c r="B154" s="426"/>
      <c r="C154" s="443"/>
      <c r="D154" s="442"/>
      <c r="G154" s="443"/>
      <c r="H154" s="442"/>
      <c r="J154" s="366"/>
      <c r="K154" s="366"/>
    </row>
    <row r="155" spans="2:11" x14ac:dyDescent="0.25">
      <c r="B155" s="426"/>
      <c r="C155" s="443"/>
      <c r="D155" s="442"/>
      <c r="G155" s="443"/>
      <c r="H155" s="442"/>
      <c r="J155" s="366"/>
      <c r="K155" s="366"/>
    </row>
    <row r="156" spans="2:11" x14ac:dyDescent="0.25">
      <c r="B156" s="426"/>
      <c r="C156" s="443"/>
      <c r="D156" s="442"/>
      <c r="G156" s="443"/>
      <c r="H156" s="442"/>
      <c r="J156" s="366"/>
      <c r="K156" s="366"/>
    </row>
    <row r="157" spans="2:11" x14ac:dyDescent="0.25">
      <c r="B157" s="426"/>
      <c r="C157" s="443"/>
      <c r="D157" s="442"/>
      <c r="G157" s="443"/>
      <c r="H157" s="442"/>
      <c r="J157" s="366"/>
      <c r="K157" s="366"/>
    </row>
    <row r="158" spans="2:11" x14ac:dyDescent="0.25">
      <c r="B158" s="426"/>
      <c r="C158" s="443"/>
      <c r="D158" s="442"/>
      <c r="G158" s="443"/>
      <c r="H158" s="442"/>
      <c r="J158" s="366"/>
      <c r="K158" s="366"/>
    </row>
    <row r="159" spans="2:11" x14ac:dyDescent="0.25">
      <c r="B159" s="426"/>
      <c r="C159" s="443"/>
      <c r="D159" s="442"/>
      <c r="G159" s="443"/>
      <c r="H159" s="442"/>
      <c r="J159" s="366"/>
      <c r="K159" s="366"/>
    </row>
    <row r="160" spans="2:11" x14ac:dyDescent="0.25">
      <c r="B160" s="426"/>
      <c r="C160" s="443"/>
      <c r="D160" s="442"/>
      <c r="G160" s="443"/>
      <c r="H160" s="442"/>
      <c r="J160" s="366"/>
      <c r="K160" s="366"/>
    </row>
    <row r="161" spans="2:12" x14ac:dyDescent="0.25">
      <c r="B161" s="426"/>
      <c r="C161" s="443"/>
      <c r="D161" s="442"/>
      <c r="G161" s="443"/>
      <c r="H161" s="442"/>
      <c r="J161" s="366"/>
      <c r="K161" s="366"/>
    </row>
    <row r="162" spans="2:12" x14ac:dyDescent="0.25">
      <c r="B162" s="426"/>
      <c r="C162" s="443"/>
      <c r="D162" s="442"/>
      <c r="G162" s="443"/>
      <c r="H162" s="442"/>
      <c r="J162" s="366"/>
      <c r="K162" s="366"/>
    </row>
    <row r="163" spans="2:12" x14ac:dyDescent="0.25">
      <c r="B163" s="426"/>
      <c r="C163" s="443"/>
      <c r="D163" s="442"/>
      <c r="G163" s="443"/>
      <c r="H163" s="442"/>
      <c r="J163" s="366"/>
      <c r="K163" s="366"/>
    </row>
    <row r="164" spans="2:12" x14ac:dyDescent="0.25">
      <c r="B164" s="426"/>
      <c r="C164" s="443"/>
      <c r="D164" s="442"/>
      <c r="G164" s="443"/>
      <c r="H164" s="442"/>
      <c r="J164" s="366"/>
      <c r="K164" s="366"/>
    </row>
    <row r="165" spans="2:12" x14ac:dyDescent="0.25">
      <c r="B165" s="426"/>
      <c r="C165" s="443"/>
      <c r="D165" s="442"/>
      <c r="G165" s="443"/>
      <c r="H165" s="442"/>
      <c r="J165" s="366"/>
      <c r="K165" s="366"/>
    </row>
    <row r="166" spans="2:12" x14ac:dyDescent="0.25">
      <c r="B166" s="426"/>
      <c r="C166" s="443"/>
      <c r="D166" s="442"/>
      <c r="G166" s="443"/>
      <c r="H166" s="442"/>
      <c r="J166" s="366"/>
      <c r="K166" s="366"/>
    </row>
    <row r="167" spans="2:12" x14ac:dyDescent="0.25">
      <c r="B167" s="426"/>
      <c r="C167" s="443"/>
      <c r="D167" s="442"/>
      <c r="G167" s="443"/>
      <c r="H167" s="442"/>
      <c r="J167" s="366"/>
      <c r="K167" s="366"/>
    </row>
    <row r="168" spans="2:12" x14ac:dyDescent="0.25">
      <c r="B168" s="426"/>
      <c r="C168" s="443"/>
      <c r="D168" s="442"/>
      <c r="G168" s="443"/>
      <c r="H168" s="442"/>
      <c r="J168" s="366"/>
      <c r="K168" s="366"/>
    </row>
    <row r="169" spans="2:12" x14ac:dyDescent="0.25">
      <c r="B169" s="426"/>
      <c r="C169" s="443"/>
      <c r="D169" s="442"/>
      <c r="G169" s="443"/>
      <c r="H169" s="442"/>
      <c r="J169" s="366"/>
      <c r="K169" s="366"/>
    </row>
    <row r="170" spans="2:12" x14ac:dyDescent="0.25">
      <c r="B170" s="426"/>
      <c r="C170" s="443"/>
      <c r="D170" s="442"/>
      <c r="G170" s="443"/>
      <c r="H170" s="442"/>
      <c r="J170" s="366"/>
      <c r="K170" s="366"/>
    </row>
    <row r="171" spans="2:12" x14ac:dyDescent="0.25">
      <c r="B171" s="426"/>
      <c r="C171" s="443"/>
      <c r="D171" s="442"/>
      <c r="G171" s="443"/>
      <c r="H171" s="442"/>
      <c r="J171" s="366"/>
      <c r="K171" s="366"/>
    </row>
    <row r="172" spans="2:12" x14ac:dyDescent="0.25">
      <c r="B172" s="426"/>
      <c r="C172" s="443"/>
      <c r="D172" s="442"/>
      <c r="G172" s="443"/>
      <c r="H172" s="442"/>
      <c r="J172" s="366"/>
      <c r="K172" s="366"/>
    </row>
    <row r="173" spans="2:12" x14ac:dyDescent="0.25">
      <c r="B173" s="426"/>
      <c r="C173" s="443"/>
      <c r="D173" s="442"/>
      <c r="G173" s="443"/>
      <c r="H173" s="442"/>
      <c r="J173" s="366"/>
      <c r="K173" s="366"/>
      <c r="L173" s="366"/>
    </row>
    <row r="174" spans="2:12" x14ac:dyDescent="0.25">
      <c r="B174" s="426"/>
      <c r="C174" s="443"/>
      <c r="D174" s="442"/>
      <c r="G174" s="443"/>
      <c r="H174" s="442"/>
      <c r="J174" s="366"/>
      <c r="K174" s="366"/>
      <c r="L174" s="366"/>
    </row>
    <row r="175" spans="2:12" x14ac:dyDescent="0.25">
      <c r="B175" s="426"/>
      <c r="C175" s="443"/>
      <c r="D175" s="442"/>
      <c r="G175" s="443"/>
      <c r="H175" s="442"/>
      <c r="J175" s="366"/>
      <c r="K175" s="366"/>
    </row>
    <row r="176" spans="2:12" x14ac:dyDescent="0.25">
      <c r="B176" s="426"/>
      <c r="C176" s="443"/>
      <c r="D176" s="442"/>
      <c r="G176" s="443"/>
      <c r="H176" s="442"/>
      <c r="J176" s="366"/>
      <c r="K176" s="366"/>
    </row>
    <row r="177" spans="2:11" x14ac:dyDescent="0.25">
      <c r="B177" s="426"/>
      <c r="C177" s="443"/>
      <c r="D177" s="442"/>
      <c r="G177" s="443"/>
      <c r="H177" s="442"/>
      <c r="J177" s="366"/>
      <c r="K177" s="366"/>
    </row>
    <row r="178" spans="2:11" x14ac:dyDescent="0.25">
      <c r="B178" s="426"/>
      <c r="C178" s="443"/>
      <c r="D178" s="442"/>
      <c r="G178" s="443"/>
      <c r="H178" s="442"/>
      <c r="J178" s="366"/>
      <c r="K178" s="366"/>
    </row>
    <row r="179" spans="2:11" x14ac:dyDescent="0.25">
      <c r="B179" s="426"/>
      <c r="C179" s="443"/>
      <c r="D179" s="442"/>
      <c r="G179" s="443"/>
      <c r="H179" s="442"/>
      <c r="J179" s="366"/>
      <c r="K179" s="366"/>
    </row>
    <row r="180" spans="2:11" x14ac:dyDescent="0.25">
      <c r="B180" s="426"/>
      <c r="C180" s="443"/>
      <c r="D180" s="442"/>
      <c r="G180" s="443"/>
      <c r="H180" s="442"/>
      <c r="J180" s="366"/>
      <c r="K180" s="366"/>
    </row>
    <row r="181" spans="2:11" x14ac:dyDescent="0.25">
      <c r="B181" s="426"/>
      <c r="C181" s="443"/>
      <c r="D181" s="442"/>
      <c r="G181" s="443"/>
      <c r="H181" s="442"/>
      <c r="J181" s="366"/>
      <c r="K181" s="366"/>
    </row>
    <row r="182" spans="2:11" x14ac:dyDescent="0.25">
      <c r="B182" s="426"/>
      <c r="C182" s="443"/>
      <c r="D182" s="442"/>
      <c r="G182" s="443"/>
      <c r="H182" s="442"/>
      <c r="J182" s="366"/>
      <c r="K182" s="366"/>
    </row>
    <row r="183" spans="2:11" x14ac:dyDescent="0.25">
      <c r="B183" s="426"/>
      <c r="C183" s="443"/>
      <c r="D183" s="442"/>
      <c r="G183" s="443"/>
      <c r="H183" s="442"/>
      <c r="J183" s="366"/>
      <c r="K183" s="366"/>
    </row>
    <row r="184" spans="2:11" x14ac:dyDescent="0.25">
      <c r="B184" s="426"/>
      <c r="C184" s="443"/>
      <c r="D184" s="442"/>
      <c r="G184" s="443"/>
      <c r="H184" s="442"/>
      <c r="J184" s="366"/>
      <c r="K184" s="366"/>
    </row>
    <row r="185" spans="2:11" x14ac:dyDescent="0.25">
      <c r="B185" s="426"/>
      <c r="C185" s="443"/>
      <c r="D185" s="442"/>
      <c r="G185" s="443"/>
      <c r="H185" s="442"/>
      <c r="J185" s="366"/>
      <c r="K185" s="366"/>
    </row>
    <row r="186" spans="2:11" x14ac:dyDescent="0.25">
      <c r="B186" s="426"/>
      <c r="C186" s="443"/>
      <c r="D186" s="442"/>
      <c r="G186" s="443"/>
      <c r="H186" s="442"/>
      <c r="J186" s="366"/>
      <c r="K186" s="366"/>
    </row>
    <row r="187" spans="2:11" x14ac:dyDescent="0.25">
      <c r="B187" s="426"/>
      <c r="C187" s="443"/>
      <c r="D187" s="442"/>
      <c r="G187" s="443"/>
      <c r="H187" s="442"/>
      <c r="J187" s="366"/>
      <c r="K187" s="366"/>
    </row>
    <row r="188" spans="2:11" x14ac:dyDescent="0.25">
      <c r="B188" s="426"/>
      <c r="C188" s="443"/>
      <c r="D188" s="442"/>
      <c r="G188" s="443"/>
      <c r="H188" s="442"/>
      <c r="J188" s="366"/>
      <c r="K188" s="366"/>
    </row>
    <row r="189" spans="2:11" x14ac:dyDescent="0.25">
      <c r="B189" s="426"/>
      <c r="C189" s="443"/>
      <c r="D189" s="442"/>
      <c r="G189" s="443"/>
      <c r="H189" s="442"/>
      <c r="J189" s="366"/>
      <c r="K189" s="366"/>
    </row>
    <row r="190" spans="2:11" x14ac:dyDescent="0.25">
      <c r="B190" s="426"/>
      <c r="C190" s="443"/>
      <c r="D190" s="442"/>
      <c r="G190" s="443"/>
      <c r="H190" s="442"/>
      <c r="J190" s="366"/>
      <c r="K190" s="366"/>
    </row>
    <row r="191" spans="2:11" x14ac:dyDescent="0.25">
      <c r="B191" s="426"/>
      <c r="C191" s="443"/>
      <c r="D191" s="442"/>
      <c r="G191" s="443"/>
      <c r="H191" s="442"/>
      <c r="J191" s="366"/>
      <c r="K191" s="366"/>
    </row>
    <row r="192" spans="2:11" x14ac:dyDescent="0.25">
      <c r="B192" s="426"/>
      <c r="C192" s="443"/>
      <c r="D192" s="442"/>
      <c r="G192" s="443"/>
      <c r="H192" s="442"/>
      <c r="J192" s="366"/>
      <c r="K192" s="366"/>
    </row>
    <row r="193" spans="2:11" x14ac:dyDescent="0.25">
      <c r="B193" s="426"/>
      <c r="C193" s="443"/>
      <c r="D193" s="442"/>
      <c r="G193" s="443"/>
      <c r="H193" s="442"/>
      <c r="J193" s="366"/>
      <c r="K193" s="366"/>
    </row>
    <row r="194" spans="2:11" x14ac:dyDescent="0.25">
      <c r="B194" s="426"/>
      <c r="C194" s="443"/>
      <c r="D194" s="442"/>
      <c r="G194" s="443"/>
      <c r="H194" s="442"/>
      <c r="J194" s="366"/>
      <c r="K194" s="366"/>
    </row>
    <row r="195" spans="2:11" x14ac:dyDescent="0.25">
      <c r="B195" s="426"/>
      <c r="C195" s="443"/>
      <c r="D195" s="442"/>
      <c r="G195" s="443"/>
      <c r="H195" s="442"/>
      <c r="J195" s="366"/>
      <c r="K195" s="366"/>
    </row>
    <row r="196" spans="2:11" x14ac:dyDescent="0.25">
      <c r="B196" s="426"/>
      <c r="C196" s="443"/>
      <c r="D196" s="442"/>
      <c r="G196" s="443"/>
      <c r="H196" s="442"/>
      <c r="J196" s="366"/>
      <c r="K196" s="366"/>
    </row>
    <row r="197" spans="2:11" x14ac:dyDescent="0.25">
      <c r="B197" s="426"/>
      <c r="C197" s="443"/>
      <c r="D197" s="442"/>
      <c r="G197" s="443"/>
      <c r="H197" s="442"/>
      <c r="J197" s="366"/>
      <c r="K197" s="366"/>
    </row>
    <row r="198" spans="2:11" x14ac:dyDescent="0.25">
      <c r="B198" s="426"/>
      <c r="C198" s="443"/>
      <c r="D198" s="442"/>
      <c r="G198" s="443"/>
      <c r="H198" s="442"/>
      <c r="J198" s="366"/>
      <c r="K198" s="366"/>
    </row>
    <row r="199" spans="2:11" x14ac:dyDescent="0.25">
      <c r="B199" s="426"/>
      <c r="C199" s="443"/>
      <c r="D199" s="442"/>
      <c r="G199" s="443"/>
      <c r="H199" s="442"/>
      <c r="J199" s="366"/>
      <c r="K199" s="366"/>
    </row>
    <row r="200" spans="2:11" x14ac:dyDescent="0.25">
      <c r="B200" s="426"/>
      <c r="C200" s="443"/>
      <c r="D200" s="442"/>
      <c r="G200" s="443"/>
      <c r="H200" s="442"/>
      <c r="J200" s="366"/>
      <c r="K200" s="366"/>
    </row>
    <row r="201" spans="2:11" x14ac:dyDescent="0.25">
      <c r="B201" s="426"/>
      <c r="C201" s="443"/>
      <c r="D201" s="442"/>
      <c r="G201" s="443"/>
      <c r="H201" s="442"/>
      <c r="J201" s="366"/>
      <c r="K201" s="366"/>
    </row>
    <row r="202" spans="2:11" x14ac:dyDescent="0.25">
      <c r="B202" s="426"/>
      <c r="C202" s="443"/>
      <c r="D202" s="442"/>
      <c r="G202" s="443"/>
      <c r="H202" s="442"/>
      <c r="J202" s="366"/>
      <c r="K202" s="366"/>
    </row>
    <row r="203" spans="2:11" x14ac:dyDescent="0.25">
      <c r="B203" s="426"/>
      <c r="C203" s="443"/>
      <c r="D203" s="442"/>
      <c r="G203" s="443"/>
      <c r="H203" s="442"/>
      <c r="J203" s="366"/>
      <c r="K203" s="366"/>
    </row>
    <row r="204" spans="2:11" x14ac:dyDescent="0.25">
      <c r="B204" s="426"/>
      <c r="C204" s="443"/>
      <c r="D204" s="442"/>
      <c r="G204" s="443"/>
      <c r="H204" s="442"/>
      <c r="J204" s="366"/>
      <c r="K204" s="366"/>
    </row>
    <row r="205" spans="2:11" x14ac:dyDescent="0.25">
      <c r="B205" s="426"/>
      <c r="C205" s="443"/>
      <c r="D205" s="442"/>
      <c r="G205" s="443"/>
      <c r="H205" s="442"/>
      <c r="J205" s="366"/>
      <c r="K205" s="366"/>
    </row>
    <row r="206" spans="2:11" x14ac:dyDescent="0.25">
      <c r="B206" s="426"/>
      <c r="C206" s="443"/>
      <c r="D206" s="442"/>
      <c r="G206" s="443"/>
      <c r="H206" s="442"/>
      <c r="J206" s="366"/>
      <c r="K206" s="366"/>
    </row>
    <row r="207" spans="2:11" x14ac:dyDescent="0.25">
      <c r="B207" s="426"/>
      <c r="C207" s="443"/>
      <c r="D207" s="442"/>
      <c r="G207" s="443"/>
      <c r="H207" s="442"/>
      <c r="J207" s="366"/>
      <c r="K207" s="366"/>
    </row>
    <row r="208" spans="2:11" x14ac:dyDescent="0.25">
      <c r="B208" s="426"/>
      <c r="C208" s="443"/>
      <c r="D208" s="442"/>
      <c r="G208" s="443"/>
      <c r="H208" s="442"/>
      <c r="J208" s="366"/>
      <c r="K208" s="366"/>
    </row>
    <row r="209" spans="2:11" x14ac:dyDescent="0.25">
      <c r="B209" s="426"/>
      <c r="C209" s="443"/>
      <c r="D209" s="442"/>
      <c r="G209" s="443"/>
      <c r="H209" s="442"/>
      <c r="J209" s="366"/>
      <c r="K209" s="366"/>
    </row>
    <row r="210" spans="2:11" x14ac:dyDescent="0.25">
      <c r="B210" s="426"/>
      <c r="C210" s="443"/>
      <c r="D210" s="442"/>
      <c r="G210" s="443"/>
      <c r="H210" s="442"/>
      <c r="J210" s="366"/>
      <c r="K210" s="366"/>
    </row>
    <row r="211" spans="2:11" x14ac:dyDescent="0.25">
      <c r="B211" s="426"/>
      <c r="C211" s="443"/>
      <c r="D211" s="442"/>
      <c r="G211" s="443"/>
      <c r="H211" s="442"/>
      <c r="J211" s="366"/>
      <c r="K211" s="366"/>
    </row>
    <row r="212" spans="2:11" x14ac:dyDescent="0.25">
      <c r="B212" s="426"/>
      <c r="C212" s="443"/>
      <c r="D212" s="442"/>
      <c r="G212" s="443"/>
      <c r="H212" s="442"/>
      <c r="J212" s="366"/>
      <c r="K212" s="366"/>
    </row>
    <row r="213" spans="2:11" x14ac:dyDescent="0.25">
      <c r="B213" s="426"/>
      <c r="C213" s="443"/>
      <c r="D213" s="442"/>
      <c r="G213" s="443"/>
      <c r="H213" s="442"/>
      <c r="J213" s="366"/>
      <c r="K213" s="366"/>
    </row>
    <row r="214" spans="2:11" x14ac:dyDescent="0.25">
      <c r="B214" s="426"/>
      <c r="C214" s="443"/>
      <c r="D214" s="442"/>
      <c r="G214" s="443"/>
      <c r="H214" s="442"/>
      <c r="J214" s="366"/>
      <c r="K214" s="366"/>
    </row>
    <row r="215" spans="2:11" x14ac:dyDescent="0.25">
      <c r="B215" s="426"/>
      <c r="C215" s="443"/>
      <c r="D215" s="442"/>
      <c r="G215" s="443"/>
      <c r="H215" s="442"/>
      <c r="J215" s="366"/>
      <c r="K215" s="366"/>
    </row>
    <row r="216" spans="2:11" x14ac:dyDescent="0.25">
      <c r="B216" s="426"/>
      <c r="C216" s="443"/>
      <c r="D216" s="442"/>
      <c r="G216" s="443"/>
      <c r="H216" s="442"/>
      <c r="J216" s="366"/>
      <c r="K216" s="366"/>
    </row>
    <row r="217" spans="2:11" x14ac:dyDescent="0.25">
      <c r="B217" s="426"/>
      <c r="C217" s="443"/>
      <c r="D217" s="442"/>
      <c r="G217" s="443"/>
      <c r="H217" s="442"/>
      <c r="J217" s="366"/>
      <c r="K217" s="366"/>
    </row>
    <row r="218" spans="2:11" x14ac:dyDescent="0.25">
      <c r="B218" s="426"/>
      <c r="C218" s="443"/>
      <c r="D218" s="442"/>
      <c r="G218" s="443"/>
      <c r="H218" s="442"/>
      <c r="J218" s="366"/>
      <c r="K218" s="366"/>
    </row>
    <row r="219" spans="2:11" x14ac:dyDescent="0.25">
      <c r="B219" s="426"/>
      <c r="C219" s="443"/>
      <c r="D219" s="442"/>
      <c r="G219" s="443"/>
      <c r="H219" s="442"/>
      <c r="J219" s="366"/>
      <c r="K219" s="366"/>
    </row>
    <row r="220" spans="2:11" x14ac:dyDescent="0.25">
      <c r="B220" s="426"/>
      <c r="C220" s="443"/>
      <c r="D220" s="442"/>
      <c r="G220" s="443"/>
      <c r="H220" s="442"/>
      <c r="J220" s="366"/>
      <c r="K220" s="366"/>
    </row>
    <row r="221" spans="2:11" x14ac:dyDescent="0.25">
      <c r="B221" s="426"/>
      <c r="C221" s="443"/>
      <c r="D221" s="442"/>
      <c r="G221" s="443"/>
      <c r="H221" s="442"/>
      <c r="J221" s="366"/>
      <c r="K221" s="366"/>
    </row>
    <row r="222" spans="2:11" x14ac:dyDescent="0.25">
      <c r="B222" s="426"/>
      <c r="C222" s="443"/>
      <c r="D222" s="442"/>
      <c r="G222" s="443"/>
      <c r="H222" s="442"/>
      <c r="J222" s="366"/>
      <c r="K222" s="366"/>
    </row>
    <row r="223" spans="2:11" x14ac:dyDescent="0.25">
      <c r="B223" s="426"/>
      <c r="C223" s="443"/>
      <c r="D223" s="442"/>
      <c r="G223" s="443"/>
      <c r="H223" s="442"/>
      <c r="J223" s="366"/>
      <c r="K223" s="366"/>
    </row>
    <row r="224" spans="2:11" x14ac:dyDescent="0.25">
      <c r="B224" s="426"/>
      <c r="C224" s="443"/>
      <c r="D224" s="442"/>
      <c r="G224" s="443"/>
      <c r="H224" s="442"/>
      <c r="J224" s="366"/>
      <c r="K224" s="366"/>
    </row>
    <row r="225" spans="2:12" x14ac:dyDescent="0.25">
      <c r="B225" s="426"/>
      <c r="C225" s="443"/>
      <c r="D225" s="442"/>
      <c r="G225" s="443"/>
      <c r="H225" s="442"/>
      <c r="J225" s="366"/>
      <c r="K225" s="366"/>
    </row>
    <row r="226" spans="2:12" x14ac:dyDescent="0.25">
      <c r="B226" s="426"/>
      <c r="C226" s="443"/>
      <c r="D226" s="442"/>
      <c r="G226" s="443"/>
      <c r="H226" s="442"/>
      <c r="J226" s="366"/>
      <c r="K226" s="366"/>
    </row>
    <row r="227" spans="2:12" x14ac:dyDescent="0.25">
      <c r="B227" s="426"/>
      <c r="C227" s="443"/>
      <c r="D227" s="442"/>
      <c r="G227" s="443"/>
      <c r="H227" s="442"/>
      <c r="J227" s="366"/>
      <c r="K227" s="366"/>
    </row>
    <row r="228" spans="2:12" x14ac:dyDescent="0.25">
      <c r="B228" s="426"/>
      <c r="C228" s="443"/>
      <c r="D228" s="442"/>
      <c r="G228" s="443"/>
      <c r="H228" s="442"/>
      <c r="J228" s="366"/>
      <c r="K228" s="366"/>
    </row>
    <row r="229" spans="2:12" x14ac:dyDescent="0.25">
      <c r="B229" s="426"/>
      <c r="C229" s="443"/>
      <c r="D229" s="442"/>
      <c r="G229" s="443"/>
      <c r="H229" s="442"/>
      <c r="J229" s="366"/>
      <c r="K229" s="366"/>
    </row>
    <row r="230" spans="2:12" x14ac:dyDescent="0.25">
      <c r="B230" s="426"/>
      <c r="C230" s="443"/>
      <c r="D230" s="442"/>
      <c r="G230" s="443"/>
      <c r="H230" s="442"/>
      <c r="J230" s="366"/>
      <c r="K230" s="366"/>
    </row>
    <row r="231" spans="2:12" x14ac:dyDescent="0.25">
      <c r="B231" s="426"/>
      <c r="C231" s="443"/>
      <c r="D231" s="442"/>
      <c r="G231" s="443"/>
      <c r="H231" s="442"/>
      <c r="J231" s="366"/>
      <c r="K231" s="366"/>
    </row>
    <row r="232" spans="2:12" x14ac:dyDescent="0.25">
      <c r="B232" s="426"/>
      <c r="C232" s="443"/>
      <c r="D232" s="442"/>
      <c r="G232" s="443"/>
      <c r="H232" s="442"/>
      <c r="J232" s="366"/>
      <c r="K232" s="366"/>
    </row>
    <row r="233" spans="2:12" x14ac:dyDescent="0.25">
      <c r="B233" s="426"/>
      <c r="C233" s="443"/>
      <c r="D233" s="442"/>
      <c r="G233" s="443"/>
      <c r="H233" s="442"/>
      <c r="J233" s="366"/>
      <c r="K233" s="366"/>
    </row>
    <row r="234" spans="2:12" x14ac:dyDescent="0.25">
      <c r="B234" s="426"/>
      <c r="C234" s="443"/>
      <c r="D234" s="442"/>
      <c r="G234" s="443"/>
      <c r="H234" s="442"/>
      <c r="J234" s="366"/>
      <c r="K234" s="366"/>
      <c r="L234" s="366"/>
    </row>
    <row r="235" spans="2:12" x14ac:dyDescent="0.25">
      <c r="B235" s="426"/>
      <c r="C235" s="443"/>
      <c r="D235" s="442"/>
      <c r="G235" s="443"/>
      <c r="H235" s="442"/>
      <c r="J235" s="366"/>
      <c r="K235" s="366"/>
      <c r="L235" s="366"/>
    </row>
    <row r="236" spans="2:12" x14ac:dyDescent="0.25">
      <c r="B236" s="426"/>
      <c r="C236" s="443"/>
      <c r="D236" s="442"/>
      <c r="G236" s="443"/>
      <c r="H236" s="442"/>
      <c r="J236" s="366"/>
      <c r="K236" s="366"/>
      <c r="L236" s="366"/>
    </row>
    <row r="237" spans="2:12" x14ac:dyDescent="0.25">
      <c r="B237" s="426"/>
      <c r="C237" s="443"/>
      <c r="D237" s="442"/>
      <c r="G237" s="443"/>
      <c r="H237" s="442"/>
      <c r="J237" s="366"/>
      <c r="K237" s="366"/>
      <c r="L237" s="366"/>
    </row>
    <row r="238" spans="2:12" x14ac:dyDescent="0.25">
      <c r="B238" s="426"/>
      <c r="C238" s="443"/>
      <c r="D238" s="442"/>
      <c r="G238" s="443"/>
      <c r="H238" s="442"/>
      <c r="J238" s="366"/>
      <c r="K238" s="366"/>
      <c r="L238" s="366"/>
    </row>
    <row r="239" spans="2:12" x14ac:dyDescent="0.25">
      <c r="B239" s="426"/>
      <c r="C239" s="443"/>
      <c r="D239" s="442"/>
      <c r="G239" s="443"/>
      <c r="H239" s="442"/>
      <c r="J239" s="366"/>
      <c r="K239" s="366"/>
      <c r="L239" s="366"/>
    </row>
    <row r="240" spans="2:12" x14ac:dyDescent="0.25">
      <c r="B240" s="426"/>
      <c r="C240" s="443"/>
      <c r="D240" s="442"/>
      <c r="G240" s="443"/>
      <c r="H240" s="442"/>
      <c r="J240" s="366"/>
      <c r="K240" s="366"/>
      <c r="L240" s="366"/>
    </row>
    <row r="241" spans="2:12" x14ac:dyDescent="0.25">
      <c r="B241" s="426"/>
      <c r="C241" s="443"/>
      <c r="D241" s="442"/>
      <c r="G241" s="443"/>
      <c r="H241" s="442"/>
      <c r="J241" s="366"/>
      <c r="K241" s="366"/>
      <c r="L241" s="366"/>
    </row>
    <row r="242" spans="2:12" x14ac:dyDescent="0.25">
      <c r="B242" s="426"/>
      <c r="C242" s="443"/>
      <c r="D242" s="442"/>
      <c r="G242" s="443"/>
      <c r="H242" s="442"/>
      <c r="J242" s="366"/>
      <c r="K242" s="366"/>
      <c r="L242" s="366"/>
    </row>
    <row r="243" spans="2:12" x14ac:dyDescent="0.25">
      <c r="B243" s="426"/>
      <c r="C243" s="443"/>
      <c r="D243" s="442"/>
      <c r="G243" s="443"/>
      <c r="H243" s="442"/>
      <c r="J243" s="366"/>
      <c r="K243" s="366"/>
      <c r="L243" s="366"/>
    </row>
    <row r="244" spans="2:12" x14ac:dyDescent="0.25">
      <c r="B244" s="426"/>
      <c r="C244" s="443"/>
      <c r="D244" s="442"/>
      <c r="G244" s="443"/>
      <c r="H244" s="442"/>
      <c r="J244" s="366"/>
      <c r="K244" s="366"/>
      <c r="L244" s="366"/>
    </row>
    <row r="245" spans="2:12" x14ac:dyDescent="0.25">
      <c r="B245" s="426"/>
      <c r="C245" s="443"/>
      <c r="D245" s="442"/>
      <c r="G245" s="443"/>
      <c r="H245" s="442"/>
      <c r="K245" s="366"/>
      <c r="L245" s="366"/>
    </row>
    <row r="246" spans="2:12" x14ac:dyDescent="0.25">
      <c r="B246" s="426"/>
      <c r="C246" s="443"/>
      <c r="D246" s="442"/>
      <c r="G246" s="443"/>
      <c r="H246" s="442"/>
      <c r="K246" s="366"/>
      <c r="L246" s="366"/>
    </row>
    <row r="247" spans="2:12" x14ac:dyDescent="0.25">
      <c r="B247" s="426"/>
      <c r="C247" s="443"/>
      <c r="D247" s="442"/>
      <c r="G247" s="443"/>
      <c r="H247" s="442"/>
      <c r="K247" s="366"/>
      <c r="L247" s="366"/>
    </row>
    <row r="248" spans="2:12" x14ac:dyDescent="0.25">
      <c r="B248" s="426"/>
      <c r="C248" s="443"/>
      <c r="D248" s="442"/>
      <c r="G248" s="443"/>
      <c r="H248" s="442"/>
      <c r="K248" s="366"/>
      <c r="L248" s="366"/>
    </row>
    <row r="249" spans="2:12" x14ac:dyDescent="0.25">
      <c r="B249" s="426"/>
      <c r="C249" s="443"/>
      <c r="D249" s="442"/>
      <c r="G249" s="443"/>
      <c r="H249" s="442"/>
      <c r="K249" s="366"/>
      <c r="L249" s="366"/>
    </row>
    <row r="250" spans="2:12" x14ac:dyDescent="0.25">
      <c r="B250" s="426"/>
      <c r="C250" s="443"/>
      <c r="D250" s="442"/>
      <c r="G250" s="443"/>
      <c r="H250" s="442"/>
      <c r="K250" s="366"/>
      <c r="L250" s="366"/>
    </row>
    <row r="251" spans="2:12" x14ac:dyDescent="0.25">
      <c r="B251" s="426"/>
      <c r="C251" s="443"/>
      <c r="D251" s="442"/>
      <c r="G251" s="443"/>
      <c r="H251" s="442"/>
      <c r="K251" s="366"/>
      <c r="L251" s="366"/>
    </row>
    <row r="252" spans="2:12" x14ac:dyDescent="0.25">
      <c r="B252" s="426"/>
      <c r="C252" s="443"/>
      <c r="D252" s="442"/>
      <c r="G252" s="443"/>
      <c r="H252" s="442"/>
      <c r="K252" s="366"/>
      <c r="L252" s="366"/>
    </row>
    <row r="253" spans="2:12" x14ac:dyDescent="0.25">
      <c r="B253" s="426"/>
      <c r="C253" s="443"/>
      <c r="D253" s="442"/>
      <c r="G253" s="443"/>
      <c r="H253" s="442"/>
      <c r="K253" s="366"/>
      <c r="L253" s="366"/>
    </row>
    <row r="254" spans="2:12" x14ac:dyDescent="0.25">
      <c r="B254" s="426"/>
      <c r="C254" s="443"/>
      <c r="D254" s="442"/>
      <c r="G254" s="443"/>
      <c r="H254" s="442"/>
      <c r="K254" s="366"/>
      <c r="L254" s="366"/>
    </row>
    <row r="255" spans="2:12" x14ac:dyDescent="0.25">
      <c r="B255" s="426"/>
      <c r="C255" s="443"/>
      <c r="D255" s="442"/>
      <c r="G255" s="443"/>
      <c r="H255" s="442"/>
      <c r="K255" s="366"/>
      <c r="L255" s="366"/>
    </row>
    <row r="256" spans="2:12" x14ac:dyDescent="0.25">
      <c r="B256" s="426"/>
      <c r="C256" s="443"/>
      <c r="D256" s="442"/>
      <c r="G256" s="443"/>
      <c r="H256" s="442"/>
      <c r="K256" s="366"/>
      <c r="L256" s="366"/>
    </row>
    <row r="257" spans="2:11" x14ac:dyDescent="0.25">
      <c r="B257" s="426"/>
      <c r="C257" s="443"/>
      <c r="D257" s="442"/>
      <c r="G257" s="443"/>
      <c r="H257" s="442"/>
      <c r="K257" s="366"/>
    </row>
    <row r="258" spans="2:11" x14ac:dyDescent="0.25">
      <c r="B258" s="426"/>
      <c r="C258" s="443"/>
      <c r="D258" s="442"/>
      <c r="G258" s="443"/>
      <c r="H258" s="442"/>
      <c r="K258" s="366"/>
    </row>
    <row r="259" spans="2:11" x14ac:dyDescent="0.25">
      <c r="B259" s="426"/>
      <c r="C259" s="443"/>
      <c r="D259" s="442"/>
      <c r="G259" s="443"/>
      <c r="H259" s="442"/>
      <c r="K259" s="366"/>
    </row>
    <row r="260" spans="2:11" x14ac:dyDescent="0.25">
      <c r="B260" s="426"/>
      <c r="C260" s="443"/>
      <c r="D260" s="442"/>
      <c r="G260" s="443"/>
      <c r="H260" s="442"/>
      <c r="K260" s="366"/>
    </row>
    <row r="261" spans="2:11" x14ac:dyDescent="0.25">
      <c r="B261" s="426"/>
      <c r="C261" s="443"/>
      <c r="D261" s="442"/>
      <c r="G261" s="443"/>
      <c r="H261" s="442"/>
      <c r="K261" s="366"/>
    </row>
    <row r="262" spans="2:11" x14ac:dyDescent="0.25">
      <c r="B262" s="426"/>
      <c r="C262" s="443"/>
      <c r="D262" s="442"/>
      <c r="G262" s="443"/>
      <c r="H262" s="442"/>
      <c r="K262" s="366"/>
    </row>
    <row r="263" spans="2:11" x14ac:dyDescent="0.25">
      <c r="B263" s="426"/>
      <c r="C263" s="443"/>
      <c r="D263" s="442"/>
      <c r="G263" s="443"/>
      <c r="H263" s="442"/>
      <c r="K263" s="366"/>
    </row>
    <row r="264" spans="2:11" x14ac:dyDescent="0.25">
      <c r="B264" s="426"/>
      <c r="C264" s="443"/>
      <c r="D264" s="442"/>
      <c r="G264" s="443"/>
      <c r="H264" s="442"/>
      <c r="K264" s="366"/>
    </row>
    <row r="265" spans="2:11" x14ac:dyDescent="0.25">
      <c r="B265" s="426"/>
      <c r="C265" s="443"/>
      <c r="D265" s="442"/>
      <c r="G265" s="443"/>
      <c r="H265" s="442"/>
      <c r="K265" s="366"/>
    </row>
    <row r="266" spans="2:11" x14ac:dyDescent="0.25">
      <c r="B266" s="426"/>
      <c r="C266" s="443"/>
      <c r="D266" s="442"/>
      <c r="G266" s="443"/>
      <c r="H266" s="442"/>
      <c r="K266" s="366"/>
    </row>
    <row r="267" spans="2:11" x14ac:dyDescent="0.25">
      <c r="B267" s="426"/>
      <c r="C267" s="443"/>
      <c r="D267" s="442"/>
      <c r="G267" s="443"/>
      <c r="H267" s="442"/>
      <c r="K267" s="366"/>
    </row>
    <row r="268" spans="2:11" x14ac:dyDescent="0.25">
      <c r="B268" s="426"/>
      <c r="C268" s="443"/>
      <c r="D268" s="442"/>
      <c r="G268" s="443"/>
      <c r="H268" s="442"/>
      <c r="K268" s="366"/>
    </row>
    <row r="269" spans="2:11" x14ac:dyDescent="0.25">
      <c r="B269" s="426"/>
      <c r="C269" s="443"/>
      <c r="D269" s="442"/>
      <c r="G269" s="443"/>
      <c r="H269" s="442"/>
    </row>
    <row r="270" spans="2:11" x14ac:dyDescent="0.25">
      <c r="B270" s="426"/>
      <c r="C270" s="443"/>
      <c r="D270" s="442"/>
      <c r="G270" s="443"/>
      <c r="H270" s="442"/>
    </row>
    <row r="271" spans="2:11" x14ac:dyDescent="0.25">
      <c r="B271" s="426"/>
      <c r="C271" s="443"/>
      <c r="D271" s="442"/>
      <c r="G271" s="443"/>
      <c r="H271" s="442"/>
    </row>
  </sheetData>
  <mergeCells count="1">
    <mergeCell ref="E58:G58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T19"/>
  <sheetViews>
    <sheetView zoomScaleNormal="100" workbookViewId="0">
      <pane ySplit="2" topLeftCell="A3" activePane="bottomLeft" state="frozen"/>
      <selection pane="bottomLeft" activeCell="U18" sqref="U18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5" width="3.625" customWidth="1"/>
    <col min="6" max="6" width="4" bestFit="1" customWidth="1"/>
    <col min="7" max="18" width="3.625" customWidth="1"/>
    <col min="19" max="19" width="6.375" customWidth="1"/>
    <col min="20" max="20" width="6.625" bestFit="1" customWidth="1"/>
    <col min="21" max="21" width="19.125" customWidth="1"/>
    <col min="22" max="22" width="23.5" bestFit="1" customWidth="1"/>
    <col min="23" max="23" width="21.5" customWidth="1"/>
    <col min="24" max="24" width="30.5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889" t="s">
        <v>354</v>
      </c>
      <c r="B1" s="890"/>
      <c r="C1" s="890"/>
      <c r="D1" s="157"/>
      <c r="E1" s="891" t="s">
        <v>24</v>
      </c>
      <c r="F1" s="892"/>
      <c r="G1" s="893"/>
      <c r="H1" s="891" t="s">
        <v>23</v>
      </c>
      <c r="I1" s="893"/>
      <c r="J1" s="886" t="s">
        <v>6</v>
      </c>
      <c r="K1" s="888"/>
      <c r="L1" s="888"/>
      <c r="M1" s="887"/>
      <c r="N1" s="886" t="s">
        <v>7</v>
      </c>
      <c r="O1" s="887"/>
      <c r="P1" s="886" t="s">
        <v>25</v>
      </c>
      <c r="Q1" s="888"/>
      <c r="R1" s="887"/>
      <c r="S1" s="560" t="s">
        <v>8</v>
      </c>
      <c r="T1" s="560" t="s">
        <v>9</v>
      </c>
      <c r="U1" s="93" t="s">
        <v>10</v>
      </c>
      <c r="V1" s="92" t="s">
        <v>11</v>
      </c>
      <c r="W1" s="94" t="s">
        <v>26</v>
      </c>
      <c r="X1" s="167" t="s">
        <v>27</v>
      </c>
      <c r="Y1" s="885" t="s">
        <v>20</v>
      </c>
      <c r="Z1" s="750"/>
      <c r="AA1" s="750"/>
      <c r="AB1" s="750"/>
      <c r="AC1" s="885" t="s">
        <v>61</v>
      </c>
      <c r="AD1" s="750"/>
      <c r="AE1" s="750"/>
      <c r="AF1" s="750"/>
      <c r="AG1" s="885" t="s">
        <v>62</v>
      </c>
      <c r="AH1" s="750"/>
      <c r="AI1" s="750"/>
      <c r="AJ1" s="750"/>
      <c r="AK1" s="885" t="s">
        <v>63</v>
      </c>
      <c r="AL1" s="750"/>
      <c r="AM1" s="750"/>
      <c r="AN1" s="750"/>
      <c r="AP1" s="532" t="s">
        <v>192</v>
      </c>
      <c r="AQ1" s="520"/>
      <c r="AR1" s="520"/>
      <c r="AS1" s="532" t="s">
        <v>192</v>
      </c>
    </row>
    <row r="2" spans="1:46" ht="14.95" customHeight="1" thickBot="1" x14ac:dyDescent="0.3">
      <c r="A2" s="95" t="s">
        <v>19</v>
      </c>
      <c r="B2" s="96" t="s">
        <v>18</v>
      </c>
      <c r="C2" s="97" t="s">
        <v>17</v>
      </c>
      <c r="D2" s="98" t="s">
        <v>41</v>
      </c>
      <c r="E2" s="98" t="s">
        <v>16</v>
      </c>
      <c r="F2" s="98" t="s">
        <v>4</v>
      </c>
      <c r="G2" s="98" t="s">
        <v>5</v>
      </c>
      <c r="H2" s="99" t="s">
        <v>12</v>
      </c>
      <c r="I2" s="99" t="s">
        <v>3</v>
      </c>
      <c r="J2" s="99" t="s">
        <v>12</v>
      </c>
      <c r="K2" s="99" t="s">
        <v>13</v>
      </c>
      <c r="L2" s="99" t="s">
        <v>2</v>
      </c>
      <c r="M2" s="99" t="s">
        <v>14</v>
      </c>
      <c r="N2" s="99" t="s">
        <v>15</v>
      </c>
      <c r="O2" s="99" t="s">
        <v>16</v>
      </c>
      <c r="P2" s="99" t="s">
        <v>21</v>
      </c>
      <c r="Q2" s="99" t="s">
        <v>22</v>
      </c>
      <c r="R2" s="99" t="s">
        <v>12</v>
      </c>
      <c r="S2" s="100"/>
      <c r="T2" s="101"/>
      <c r="U2" s="102"/>
      <c r="V2" s="100"/>
      <c r="W2" s="103"/>
      <c r="X2" s="104"/>
      <c r="Y2" s="432" t="s">
        <v>0</v>
      </c>
      <c r="Z2" s="432" t="s">
        <v>1</v>
      </c>
      <c r="AA2" s="432" t="s">
        <v>2</v>
      </c>
      <c r="AB2" s="432" t="s">
        <v>3</v>
      </c>
      <c r="AC2" s="432" t="s">
        <v>0</v>
      </c>
      <c r="AD2" s="432" t="s">
        <v>1</v>
      </c>
      <c r="AE2" s="432" t="s">
        <v>2</v>
      </c>
      <c r="AF2" s="432" t="s">
        <v>3</v>
      </c>
      <c r="AG2" s="432" t="s">
        <v>0</v>
      </c>
      <c r="AH2" s="432" t="s">
        <v>1</v>
      </c>
      <c r="AI2" s="432" t="s">
        <v>2</v>
      </c>
      <c r="AJ2" s="432" t="s">
        <v>3</v>
      </c>
      <c r="AK2" s="432" t="s">
        <v>0</v>
      </c>
      <c r="AL2" s="432" t="s">
        <v>1</v>
      </c>
      <c r="AM2" s="432" t="s">
        <v>2</v>
      </c>
      <c r="AN2" s="432" t="s">
        <v>3</v>
      </c>
      <c r="AP2" s="481" t="s">
        <v>108</v>
      </c>
      <c r="AQ2" s="249"/>
      <c r="AS2" s="482" t="s">
        <v>167</v>
      </c>
      <c r="AT2" s="249"/>
    </row>
    <row r="3" spans="1:46" ht="14.95" customHeight="1" thickBot="1" x14ac:dyDescent="0.3">
      <c r="A3" s="191">
        <v>44115</v>
      </c>
      <c r="B3" s="192" t="s">
        <v>345</v>
      </c>
      <c r="C3" s="192" t="s">
        <v>29</v>
      </c>
      <c r="D3" s="226" t="s">
        <v>163</v>
      </c>
      <c r="E3" s="193" t="s">
        <v>2</v>
      </c>
      <c r="F3" s="193">
        <v>16</v>
      </c>
      <c r="G3" s="193">
        <v>16</v>
      </c>
      <c r="H3" s="193" t="s">
        <v>107</v>
      </c>
      <c r="I3" s="193" t="s">
        <v>107</v>
      </c>
      <c r="J3" s="193">
        <v>2</v>
      </c>
      <c r="K3" s="193">
        <v>0</v>
      </c>
      <c r="L3" s="193">
        <v>0</v>
      </c>
      <c r="M3" s="193">
        <v>2</v>
      </c>
      <c r="N3" s="193">
        <v>0</v>
      </c>
      <c r="O3" s="193">
        <v>0</v>
      </c>
      <c r="P3" s="193" t="s">
        <v>107</v>
      </c>
      <c r="Q3" s="193" t="s">
        <v>107</v>
      </c>
      <c r="R3" s="193">
        <v>2</v>
      </c>
      <c r="S3" s="205">
        <v>31020</v>
      </c>
      <c r="T3" s="218" t="s">
        <v>216</v>
      </c>
      <c r="U3" s="206" t="s">
        <v>149</v>
      </c>
      <c r="V3" s="205" t="s">
        <v>207</v>
      </c>
      <c r="W3" s="194" t="s">
        <v>150</v>
      </c>
      <c r="X3" s="207" t="s">
        <v>151</v>
      </c>
      <c r="Y3" s="208">
        <v>1</v>
      </c>
      <c r="Z3" s="208">
        <v>0</v>
      </c>
      <c r="AA3" s="208">
        <v>1</v>
      </c>
      <c r="AB3" s="209">
        <v>0</v>
      </c>
      <c r="AC3" s="208">
        <v>1</v>
      </c>
      <c r="AD3" s="208">
        <v>0</v>
      </c>
      <c r="AE3" s="208">
        <v>1</v>
      </c>
      <c r="AF3" s="209">
        <v>0</v>
      </c>
      <c r="AG3" s="208">
        <v>0</v>
      </c>
      <c r="AH3" s="208">
        <v>0</v>
      </c>
      <c r="AI3" s="208">
        <v>0</v>
      </c>
      <c r="AJ3" s="209">
        <v>0</v>
      </c>
      <c r="AK3" s="208">
        <v>0</v>
      </c>
      <c r="AL3" s="208">
        <v>0</v>
      </c>
      <c r="AM3" s="208">
        <v>0</v>
      </c>
      <c r="AN3" s="209">
        <v>0</v>
      </c>
      <c r="AP3" s="501" t="s">
        <v>170</v>
      </c>
      <c r="AQ3" s="502">
        <f>Nzl2019alltestshistplayed</f>
        <v>597</v>
      </c>
      <c r="AS3" s="501" t="s">
        <v>170</v>
      </c>
      <c r="AT3" s="502">
        <f>New_ZealandRWChistplayed</f>
        <v>56</v>
      </c>
    </row>
    <row r="4" spans="1:46" ht="14.95" customHeight="1" thickBot="1" x14ac:dyDescent="0.35">
      <c r="A4" s="191">
        <v>44122</v>
      </c>
      <c r="B4" s="192" t="s">
        <v>345</v>
      </c>
      <c r="C4" s="192" t="s">
        <v>29</v>
      </c>
      <c r="D4" s="226" t="s">
        <v>165</v>
      </c>
      <c r="E4" s="193" t="s">
        <v>1</v>
      </c>
      <c r="F4" s="193">
        <v>27</v>
      </c>
      <c r="G4" s="193">
        <v>7</v>
      </c>
      <c r="H4" s="193" t="s">
        <v>107</v>
      </c>
      <c r="I4" s="193" t="s">
        <v>107</v>
      </c>
      <c r="J4" s="193">
        <v>4</v>
      </c>
      <c r="K4" s="193">
        <v>2</v>
      </c>
      <c r="L4" s="193">
        <v>0</v>
      </c>
      <c r="M4" s="193">
        <v>1</v>
      </c>
      <c r="N4" s="193">
        <v>0</v>
      </c>
      <c r="O4" s="193">
        <v>0</v>
      </c>
      <c r="P4" s="193" t="s">
        <v>107</v>
      </c>
      <c r="Q4" s="193" t="s">
        <v>107</v>
      </c>
      <c r="R4" s="193">
        <v>1</v>
      </c>
      <c r="S4" s="205">
        <v>46049</v>
      </c>
      <c r="T4" s="312" t="s">
        <v>209</v>
      </c>
      <c r="U4" s="206" t="s">
        <v>151</v>
      </c>
      <c r="V4" s="205" t="s">
        <v>207</v>
      </c>
      <c r="W4" s="194" t="s">
        <v>150</v>
      </c>
      <c r="X4" s="207" t="s">
        <v>149</v>
      </c>
      <c r="Y4" s="208">
        <v>1</v>
      </c>
      <c r="Z4" s="208">
        <v>1</v>
      </c>
      <c r="AA4" s="208">
        <v>0</v>
      </c>
      <c r="AB4" s="209">
        <v>0</v>
      </c>
      <c r="AC4" s="208">
        <v>1</v>
      </c>
      <c r="AD4" s="208">
        <v>1</v>
      </c>
      <c r="AE4" s="208">
        <v>0</v>
      </c>
      <c r="AF4" s="209">
        <v>0</v>
      </c>
      <c r="AG4" s="208">
        <v>0</v>
      </c>
      <c r="AH4" s="208">
        <v>0</v>
      </c>
      <c r="AI4" s="208">
        <v>0</v>
      </c>
      <c r="AJ4" s="209">
        <v>0</v>
      </c>
      <c r="AK4" s="208">
        <v>0</v>
      </c>
      <c r="AL4" s="208">
        <v>0</v>
      </c>
      <c r="AM4" s="208">
        <v>0</v>
      </c>
      <c r="AN4" s="209">
        <v>0</v>
      </c>
      <c r="AP4" s="503" t="s">
        <v>171</v>
      </c>
      <c r="AQ4" s="504">
        <f>Nzl2019alltestshistwon</f>
        <v>460</v>
      </c>
      <c r="AS4" s="503" t="s">
        <v>171</v>
      </c>
      <c r="AT4" s="504">
        <f>New_ZealandRWChistwon</f>
        <v>49</v>
      </c>
    </row>
    <row r="5" spans="1:46" ht="14.95" customHeight="1" thickBot="1" x14ac:dyDescent="0.35">
      <c r="A5" s="183">
        <v>44135</v>
      </c>
      <c r="B5" s="188" t="s">
        <v>446</v>
      </c>
      <c r="C5" s="174" t="s">
        <v>29</v>
      </c>
      <c r="D5" s="188" t="s">
        <v>348</v>
      </c>
      <c r="E5" s="175" t="s">
        <v>1</v>
      </c>
      <c r="F5" s="175">
        <v>43</v>
      </c>
      <c r="G5" s="189">
        <v>5</v>
      </c>
      <c r="H5" s="189">
        <v>1</v>
      </c>
      <c r="I5" s="175">
        <v>0</v>
      </c>
      <c r="J5" s="175">
        <v>6</v>
      </c>
      <c r="K5" s="175">
        <v>5</v>
      </c>
      <c r="L5" s="175">
        <v>0</v>
      </c>
      <c r="M5" s="175">
        <v>1</v>
      </c>
      <c r="N5" s="175">
        <v>2</v>
      </c>
      <c r="O5" s="175">
        <v>0</v>
      </c>
      <c r="P5" s="175">
        <v>0</v>
      </c>
      <c r="Q5" s="175">
        <v>0</v>
      </c>
      <c r="R5" s="175">
        <v>1</v>
      </c>
      <c r="S5" s="178">
        <v>25689</v>
      </c>
      <c r="T5" s="415" t="s">
        <v>405</v>
      </c>
      <c r="U5" s="190" t="s">
        <v>150</v>
      </c>
      <c r="V5" s="178" t="s">
        <v>151</v>
      </c>
      <c r="W5" s="178" t="s">
        <v>149</v>
      </c>
      <c r="X5" s="196" t="s">
        <v>404</v>
      </c>
      <c r="Y5" s="180">
        <v>1</v>
      </c>
      <c r="Z5" s="180">
        <v>1</v>
      </c>
      <c r="AA5" s="180">
        <v>0</v>
      </c>
      <c r="AB5" s="181">
        <v>0</v>
      </c>
      <c r="AC5" s="180">
        <v>0</v>
      </c>
      <c r="AD5" s="180">
        <v>0</v>
      </c>
      <c r="AE5" s="180">
        <v>0</v>
      </c>
      <c r="AF5" s="181">
        <v>0</v>
      </c>
      <c r="AG5" s="180">
        <v>1</v>
      </c>
      <c r="AH5" s="180">
        <v>1</v>
      </c>
      <c r="AI5" s="180">
        <v>0</v>
      </c>
      <c r="AJ5" s="181">
        <v>0</v>
      </c>
      <c r="AK5" s="180">
        <v>0</v>
      </c>
      <c r="AL5" s="180">
        <v>0</v>
      </c>
      <c r="AM5" s="180">
        <v>0</v>
      </c>
      <c r="AN5" s="181">
        <v>0</v>
      </c>
      <c r="AP5" s="503" t="s">
        <v>177</v>
      </c>
      <c r="AQ5" s="504">
        <f>Nzl2019alltestshistdrawn</f>
        <v>22</v>
      </c>
      <c r="AS5" s="503" t="s">
        <v>177</v>
      </c>
      <c r="AT5" s="504">
        <f>New_ZealandRWChistdrawn</f>
        <v>0</v>
      </c>
    </row>
    <row r="6" spans="1:46" ht="14.95" customHeight="1" thickBot="1" x14ac:dyDescent="0.3">
      <c r="A6" s="183">
        <v>44142</v>
      </c>
      <c r="B6" s="188" t="s">
        <v>446</v>
      </c>
      <c r="C6" s="174" t="s">
        <v>29</v>
      </c>
      <c r="D6" s="188" t="s">
        <v>164</v>
      </c>
      <c r="E6" s="175" t="s">
        <v>3</v>
      </c>
      <c r="F6" s="175">
        <v>22</v>
      </c>
      <c r="G6" s="189">
        <v>24</v>
      </c>
      <c r="H6" s="252">
        <v>0</v>
      </c>
      <c r="I6" s="189">
        <v>1</v>
      </c>
      <c r="J6" s="175">
        <v>3</v>
      </c>
      <c r="K6" s="175">
        <v>2</v>
      </c>
      <c r="L6" s="175">
        <v>0</v>
      </c>
      <c r="M6" s="175">
        <v>1</v>
      </c>
      <c r="N6" s="175">
        <v>1</v>
      </c>
      <c r="O6" s="175">
        <v>1</v>
      </c>
      <c r="P6" s="175">
        <v>0</v>
      </c>
      <c r="Q6" s="175">
        <v>0</v>
      </c>
      <c r="R6" s="175">
        <v>2</v>
      </c>
      <c r="S6" s="178">
        <v>36626</v>
      </c>
      <c r="T6" s="637" t="s">
        <v>444</v>
      </c>
      <c r="U6" s="190" t="s">
        <v>404</v>
      </c>
      <c r="V6" s="178" t="s">
        <v>149</v>
      </c>
      <c r="W6" s="178" t="s">
        <v>445</v>
      </c>
      <c r="X6" s="196" t="s">
        <v>151</v>
      </c>
      <c r="Y6" s="180">
        <v>1</v>
      </c>
      <c r="Z6" s="180">
        <v>0</v>
      </c>
      <c r="AA6" s="180">
        <v>0</v>
      </c>
      <c r="AB6" s="181">
        <v>1</v>
      </c>
      <c r="AC6" s="180">
        <v>0</v>
      </c>
      <c r="AD6" s="180">
        <v>0</v>
      </c>
      <c r="AE6" s="180">
        <v>0</v>
      </c>
      <c r="AF6" s="181">
        <v>0</v>
      </c>
      <c r="AG6" s="180">
        <v>1</v>
      </c>
      <c r="AH6" s="180">
        <v>0</v>
      </c>
      <c r="AI6" s="180">
        <v>0</v>
      </c>
      <c r="AJ6" s="181">
        <v>1</v>
      </c>
      <c r="AK6" s="180">
        <v>0</v>
      </c>
      <c r="AL6" s="180">
        <v>0</v>
      </c>
      <c r="AM6" s="180">
        <v>0</v>
      </c>
      <c r="AN6" s="181">
        <v>0</v>
      </c>
      <c r="AP6" s="503" t="s">
        <v>172</v>
      </c>
      <c r="AQ6" s="504">
        <f>Nzl2019alltestshistlost</f>
        <v>115</v>
      </c>
      <c r="AS6" s="503" t="s">
        <v>172</v>
      </c>
      <c r="AT6" s="504">
        <f>New_ZealandRWChistlost</f>
        <v>7</v>
      </c>
    </row>
    <row r="7" spans="1:46" ht="14.95" customHeight="1" thickBot="1" x14ac:dyDescent="0.3">
      <c r="A7" s="676">
        <v>44149</v>
      </c>
      <c r="B7" s="687" t="s">
        <v>446</v>
      </c>
      <c r="C7" s="677" t="s">
        <v>37</v>
      </c>
      <c r="D7" s="687" t="s">
        <v>352</v>
      </c>
      <c r="E7" s="678" t="s">
        <v>3</v>
      </c>
      <c r="F7" s="678">
        <v>15</v>
      </c>
      <c r="G7" s="689">
        <v>25</v>
      </c>
      <c r="H7" s="689">
        <v>0</v>
      </c>
      <c r="I7" s="678">
        <v>0</v>
      </c>
      <c r="J7" s="678">
        <v>2</v>
      </c>
      <c r="K7" s="678">
        <v>1</v>
      </c>
      <c r="L7" s="678">
        <v>0</v>
      </c>
      <c r="M7" s="678">
        <v>1</v>
      </c>
      <c r="N7" s="678">
        <v>0</v>
      </c>
      <c r="O7" s="678">
        <v>0</v>
      </c>
      <c r="P7" s="678">
        <v>0</v>
      </c>
      <c r="Q7" s="678">
        <v>0</v>
      </c>
      <c r="R7" s="678">
        <v>1</v>
      </c>
      <c r="S7" s="682">
        <v>9063</v>
      </c>
      <c r="T7" s="690" t="s">
        <v>456</v>
      </c>
      <c r="U7" s="691" t="s">
        <v>151</v>
      </c>
      <c r="V7" s="682" t="s">
        <v>150</v>
      </c>
      <c r="W7" s="682" t="s">
        <v>404</v>
      </c>
      <c r="X7" s="692" t="s">
        <v>149</v>
      </c>
      <c r="Y7" s="684">
        <v>1</v>
      </c>
      <c r="Z7" s="684">
        <v>0</v>
      </c>
      <c r="AA7" s="684">
        <v>0</v>
      </c>
      <c r="AB7" s="685">
        <v>1</v>
      </c>
      <c r="AC7" s="684">
        <v>0</v>
      </c>
      <c r="AD7" s="684">
        <v>0</v>
      </c>
      <c r="AE7" s="684">
        <v>0</v>
      </c>
      <c r="AF7" s="685">
        <v>0</v>
      </c>
      <c r="AG7" s="684">
        <v>0</v>
      </c>
      <c r="AH7" s="684">
        <v>0</v>
      </c>
      <c r="AI7" s="684">
        <v>0</v>
      </c>
      <c r="AJ7" s="685">
        <v>0</v>
      </c>
      <c r="AK7" s="684">
        <v>1</v>
      </c>
      <c r="AL7" s="684">
        <v>0</v>
      </c>
      <c r="AM7" s="684">
        <v>0</v>
      </c>
      <c r="AN7" s="685">
        <v>1</v>
      </c>
      <c r="AP7" s="503" t="s">
        <v>178</v>
      </c>
      <c r="AQ7" s="504">
        <f>Nzl2019alltestshistptsscored</f>
        <v>16575</v>
      </c>
      <c r="AS7" s="503" t="s">
        <v>178</v>
      </c>
      <c r="AT7" s="504">
        <f>New_ZealandRWChistptsscored</f>
        <v>2552</v>
      </c>
    </row>
    <row r="8" spans="1:46" ht="14.95" customHeight="1" thickBot="1" x14ac:dyDescent="0.35">
      <c r="A8" s="184">
        <v>44163</v>
      </c>
      <c r="B8" s="421" t="s">
        <v>446</v>
      </c>
      <c r="C8" s="185" t="s">
        <v>37</v>
      </c>
      <c r="D8" s="421" t="s">
        <v>350</v>
      </c>
      <c r="E8" s="186" t="s">
        <v>1</v>
      </c>
      <c r="F8" s="186">
        <v>38</v>
      </c>
      <c r="G8" s="422">
        <v>0</v>
      </c>
      <c r="H8" s="422">
        <v>1</v>
      </c>
      <c r="I8" s="186">
        <v>0</v>
      </c>
      <c r="J8" s="186">
        <v>5</v>
      </c>
      <c r="K8" s="186">
        <v>5</v>
      </c>
      <c r="L8" s="186">
        <v>0</v>
      </c>
      <c r="M8" s="186">
        <v>1</v>
      </c>
      <c r="N8" s="186">
        <v>1</v>
      </c>
      <c r="O8" s="186">
        <v>0</v>
      </c>
      <c r="P8" s="186">
        <v>0</v>
      </c>
      <c r="Q8" s="186">
        <v>0</v>
      </c>
      <c r="R8" s="186">
        <v>0</v>
      </c>
      <c r="S8" s="187">
        <v>10104</v>
      </c>
      <c r="T8" s="436" t="s">
        <v>480</v>
      </c>
      <c r="U8" s="187" t="s">
        <v>404</v>
      </c>
      <c r="V8" s="187" t="s">
        <v>149</v>
      </c>
      <c r="W8" s="187" t="s">
        <v>151</v>
      </c>
      <c r="X8" s="423" t="s">
        <v>150</v>
      </c>
      <c r="Y8" s="202">
        <v>1</v>
      </c>
      <c r="Z8" s="202">
        <v>1</v>
      </c>
      <c r="AA8" s="202">
        <v>0</v>
      </c>
      <c r="AB8" s="203">
        <v>0</v>
      </c>
      <c r="AC8" s="202">
        <v>0</v>
      </c>
      <c r="AD8" s="202">
        <v>0</v>
      </c>
      <c r="AE8" s="202">
        <v>0</v>
      </c>
      <c r="AF8" s="203">
        <v>0</v>
      </c>
      <c r="AG8" s="202">
        <v>0</v>
      </c>
      <c r="AH8" s="202">
        <v>0</v>
      </c>
      <c r="AI8" s="202">
        <v>0</v>
      </c>
      <c r="AJ8" s="203">
        <v>0</v>
      </c>
      <c r="AK8" s="202">
        <v>1</v>
      </c>
      <c r="AL8" s="202">
        <v>0</v>
      </c>
      <c r="AM8" s="202">
        <v>0</v>
      </c>
      <c r="AN8" s="203">
        <v>1</v>
      </c>
      <c r="AP8" s="503" t="s">
        <v>179</v>
      </c>
      <c r="AQ8" s="504">
        <f>Nzl2019alltestshistptscon</f>
        <v>7944</v>
      </c>
      <c r="AS8" s="503" t="s">
        <v>179</v>
      </c>
      <c r="AT8" s="504">
        <f>New_ZealandRWChistptsconcorrect</f>
        <v>753</v>
      </c>
    </row>
    <row r="9" spans="1:46" ht="14.95" customHeight="1" thickBot="1" x14ac:dyDescent="0.3">
      <c r="A9" s="387"/>
      <c r="B9" s="388"/>
      <c r="C9" s="743" t="s">
        <v>447</v>
      </c>
      <c r="D9" s="744"/>
      <c r="E9" s="745"/>
      <c r="F9" s="414">
        <f>SUM(F5:F8)</f>
        <v>118</v>
      </c>
      <c r="G9" s="414">
        <f t="shared" ref="G9:R9" si="0">SUM(G5:G8)</f>
        <v>54</v>
      </c>
      <c r="H9" s="414">
        <f t="shared" si="0"/>
        <v>2</v>
      </c>
      <c r="I9" s="414">
        <f t="shared" si="0"/>
        <v>1</v>
      </c>
      <c r="J9" s="414">
        <f t="shared" si="0"/>
        <v>16</v>
      </c>
      <c r="K9" s="414">
        <f t="shared" si="0"/>
        <v>13</v>
      </c>
      <c r="L9" s="414">
        <f t="shared" si="0"/>
        <v>0</v>
      </c>
      <c r="M9" s="414">
        <f t="shared" si="0"/>
        <v>4</v>
      </c>
      <c r="N9" s="414">
        <f t="shared" si="0"/>
        <v>4</v>
      </c>
      <c r="O9" s="414">
        <f t="shared" si="0"/>
        <v>1</v>
      </c>
      <c r="P9" s="414">
        <f t="shared" si="0"/>
        <v>0</v>
      </c>
      <c r="Q9" s="414">
        <f t="shared" si="0"/>
        <v>0</v>
      </c>
      <c r="R9" s="414">
        <f t="shared" si="0"/>
        <v>4</v>
      </c>
      <c r="S9" s="410"/>
      <c r="T9" s="410"/>
      <c r="U9" s="410"/>
      <c r="V9" s="410"/>
      <c r="W9" s="411"/>
      <c r="X9" s="594" t="s">
        <v>447</v>
      </c>
      <c r="Y9" s="414">
        <f t="shared" ref="Y9:AN9" si="1">SUM(Y5:Y8)</f>
        <v>4</v>
      </c>
      <c r="Z9" s="414">
        <f t="shared" si="1"/>
        <v>2</v>
      </c>
      <c r="AA9" s="414">
        <f t="shared" si="1"/>
        <v>0</v>
      </c>
      <c r="AB9" s="414">
        <f t="shared" si="1"/>
        <v>2</v>
      </c>
      <c r="AC9" s="412">
        <f t="shared" si="1"/>
        <v>0</v>
      </c>
      <c r="AD9" s="412">
        <f t="shared" si="1"/>
        <v>0</v>
      </c>
      <c r="AE9" s="412">
        <f t="shared" si="1"/>
        <v>0</v>
      </c>
      <c r="AF9" s="412">
        <f t="shared" si="1"/>
        <v>0</v>
      </c>
      <c r="AG9" s="413">
        <f t="shared" si="1"/>
        <v>2</v>
      </c>
      <c r="AH9" s="413">
        <f t="shared" si="1"/>
        <v>1</v>
      </c>
      <c r="AI9" s="413">
        <f t="shared" si="1"/>
        <v>0</v>
      </c>
      <c r="AJ9" s="413">
        <f t="shared" si="1"/>
        <v>1</v>
      </c>
      <c r="AK9" s="414">
        <f t="shared" si="1"/>
        <v>2</v>
      </c>
      <c r="AL9" s="414">
        <f t="shared" si="1"/>
        <v>0</v>
      </c>
      <c r="AM9" s="414">
        <f t="shared" si="1"/>
        <v>0</v>
      </c>
      <c r="AN9" s="414">
        <f t="shared" si="1"/>
        <v>2</v>
      </c>
      <c r="AP9" s="503" t="s">
        <v>169</v>
      </c>
      <c r="AQ9" s="504">
        <f>Nzl2019alltestshisttriesscored</f>
        <v>2172</v>
      </c>
      <c r="AS9" s="503" t="s">
        <v>169</v>
      </c>
      <c r="AT9" s="504">
        <f>New_ZealandRWChisttriesscored</f>
        <v>347</v>
      </c>
    </row>
    <row r="10" spans="1:46" ht="14.95" customHeight="1" thickBot="1" x14ac:dyDescent="0.3">
      <c r="A10" s="387"/>
      <c r="B10" s="388"/>
      <c r="C10" s="763" t="s">
        <v>346</v>
      </c>
      <c r="D10" s="764"/>
      <c r="E10" s="765"/>
      <c r="F10" s="399">
        <f>SUM(F3:F4)</f>
        <v>43</v>
      </c>
      <c r="G10" s="399">
        <f t="shared" ref="G10:R10" si="2">SUM(G3:G4)</f>
        <v>23</v>
      </c>
      <c r="H10" s="399">
        <f t="shared" si="2"/>
        <v>0</v>
      </c>
      <c r="I10" s="399">
        <f t="shared" si="2"/>
        <v>0</v>
      </c>
      <c r="J10" s="399">
        <f t="shared" si="2"/>
        <v>6</v>
      </c>
      <c r="K10" s="399">
        <f t="shared" si="2"/>
        <v>2</v>
      </c>
      <c r="L10" s="399">
        <f t="shared" si="2"/>
        <v>0</v>
      </c>
      <c r="M10" s="399">
        <f t="shared" si="2"/>
        <v>3</v>
      </c>
      <c r="N10" s="399">
        <f t="shared" si="2"/>
        <v>0</v>
      </c>
      <c r="O10" s="399">
        <f t="shared" si="2"/>
        <v>0</v>
      </c>
      <c r="P10" s="399">
        <f t="shared" si="2"/>
        <v>0</v>
      </c>
      <c r="Q10" s="399">
        <f t="shared" si="2"/>
        <v>0</v>
      </c>
      <c r="R10" s="399">
        <f t="shared" si="2"/>
        <v>3</v>
      </c>
      <c r="S10" s="395"/>
      <c r="T10" s="395"/>
      <c r="U10" s="395"/>
      <c r="V10" s="395"/>
      <c r="W10" s="396"/>
      <c r="X10" s="601" t="s">
        <v>346</v>
      </c>
      <c r="Y10" s="399">
        <f t="shared" ref="Y10:AN10" si="3">SUM(Y3:Y4)</f>
        <v>2</v>
      </c>
      <c r="Z10" s="399">
        <f t="shared" si="3"/>
        <v>1</v>
      </c>
      <c r="AA10" s="399">
        <f t="shared" si="3"/>
        <v>1</v>
      </c>
      <c r="AB10" s="399">
        <f t="shared" si="3"/>
        <v>0</v>
      </c>
      <c r="AC10" s="397">
        <f t="shared" si="3"/>
        <v>2</v>
      </c>
      <c r="AD10" s="397">
        <f t="shared" si="3"/>
        <v>1</v>
      </c>
      <c r="AE10" s="397">
        <f t="shared" si="3"/>
        <v>1</v>
      </c>
      <c r="AF10" s="397">
        <f t="shared" si="3"/>
        <v>0</v>
      </c>
      <c r="AG10" s="398">
        <f t="shared" si="3"/>
        <v>0</v>
      </c>
      <c r="AH10" s="398">
        <f t="shared" si="3"/>
        <v>0</v>
      </c>
      <c r="AI10" s="398">
        <f t="shared" si="3"/>
        <v>0</v>
      </c>
      <c r="AJ10" s="398">
        <f t="shared" si="3"/>
        <v>0</v>
      </c>
      <c r="AK10" s="399">
        <f t="shared" si="3"/>
        <v>0</v>
      </c>
      <c r="AL10" s="399">
        <f t="shared" si="3"/>
        <v>0</v>
      </c>
      <c r="AM10" s="399">
        <f t="shared" si="3"/>
        <v>0</v>
      </c>
      <c r="AN10" s="399">
        <f t="shared" si="3"/>
        <v>0</v>
      </c>
    </row>
    <row r="11" spans="1:46" ht="14.95" customHeight="1" thickBot="1" x14ac:dyDescent="0.3">
      <c r="A11" s="387"/>
      <c r="B11" s="388"/>
      <c r="C11" s="732" t="s">
        <v>108</v>
      </c>
      <c r="D11" s="733"/>
      <c r="E11" s="734"/>
      <c r="F11" s="552">
        <f t="shared" ref="F11:R11" si="4">SUM(F3:F8)</f>
        <v>161</v>
      </c>
      <c r="G11" s="552">
        <f t="shared" si="4"/>
        <v>77</v>
      </c>
      <c r="H11" s="552">
        <f t="shared" si="4"/>
        <v>2</v>
      </c>
      <c r="I11" s="552">
        <f t="shared" si="4"/>
        <v>1</v>
      </c>
      <c r="J11" s="552">
        <f t="shared" si="4"/>
        <v>22</v>
      </c>
      <c r="K11" s="552">
        <f t="shared" si="4"/>
        <v>15</v>
      </c>
      <c r="L11" s="552">
        <f t="shared" si="4"/>
        <v>0</v>
      </c>
      <c r="M11" s="552">
        <f t="shared" si="4"/>
        <v>7</v>
      </c>
      <c r="N11" s="552">
        <f t="shared" si="4"/>
        <v>4</v>
      </c>
      <c r="O11" s="552">
        <f t="shared" si="4"/>
        <v>1</v>
      </c>
      <c r="P11" s="552">
        <f t="shared" si="4"/>
        <v>0</v>
      </c>
      <c r="Q11" s="552">
        <f t="shared" si="4"/>
        <v>0</v>
      </c>
      <c r="R11" s="552">
        <f t="shared" si="4"/>
        <v>7</v>
      </c>
      <c r="S11" s="548"/>
      <c r="T11" s="548"/>
      <c r="U11" s="548"/>
      <c r="V11" s="548"/>
      <c r="W11" s="13"/>
      <c r="X11" s="596" t="s">
        <v>108</v>
      </c>
      <c r="Y11" s="552">
        <f t="shared" ref="Y11:AN11" si="5">SUM(Y3:Y8)</f>
        <v>6</v>
      </c>
      <c r="Z11" s="552">
        <f t="shared" si="5"/>
        <v>3</v>
      </c>
      <c r="AA11" s="552">
        <f t="shared" si="5"/>
        <v>1</v>
      </c>
      <c r="AB11" s="552">
        <f t="shared" si="5"/>
        <v>2</v>
      </c>
      <c r="AC11" s="550">
        <f t="shared" si="5"/>
        <v>2</v>
      </c>
      <c r="AD11" s="550">
        <f t="shared" si="5"/>
        <v>1</v>
      </c>
      <c r="AE11" s="550">
        <f t="shared" si="5"/>
        <v>1</v>
      </c>
      <c r="AF11" s="550">
        <f t="shared" si="5"/>
        <v>0</v>
      </c>
      <c r="AG11" s="551">
        <f t="shared" si="5"/>
        <v>2</v>
      </c>
      <c r="AH11" s="551">
        <f t="shared" si="5"/>
        <v>1</v>
      </c>
      <c r="AI11" s="551">
        <f t="shared" si="5"/>
        <v>0</v>
      </c>
      <c r="AJ11" s="551">
        <f t="shared" si="5"/>
        <v>1</v>
      </c>
      <c r="AK11" s="552">
        <f t="shared" si="5"/>
        <v>2</v>
      </c>
      <c r="AL11" s="552">
        <f t="shared" si="5"/>
        <v>0</v>
      </c>
      <c r="AM11" s="552">
        <f t="shared" si="5"/>
        <v>0</v>
      </c>
      <c r="AN11" s="552">
        <f t="shared" si="5"/>
        <v>2</v>
      </c>
    </row>
    <row r="12" spans="1:46" ht="14.95" customHeight="1" x14ac:dyDescent="0.25">
      <c r="A12" s="762" t="s">
        <v>349</v>
      </c>
      <c r="B12" s="725"/>
      <c r="C12" s="725"/>
      <c r="D12" s="725"/>
      <c r="E12" s="725"/>
      <c r="F12" s="725"/>
      <c r="G12" s="725"/>
      <c r="H12" s="725"/>
      <c r="I12" s="725"/>
      <c r="J12" s="725"/>
      <c r="K12" s="725"/>
      <c r="L12" s="725"/>
      <c r="M12" s="725"/>
      <c r="N12" s="725"/>
      <c r="O12" s="725"/>
      <c r="P12" s="725"/>
      <c r="Q12" s="725"/>
      <c r="R12" s="725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</row>
    <row r="13" spans="1:46" ht="14.95" customHeight="1" x14ac:dyDescent="0.25">
      <c r="A13" s="762" t="s">
        <v>356</v>
      </c>
      <c r="B13" s="725"/>
      <c r="C13" s="725"/>
      <c r="D13" s="725"/>
      <c r="E13" s="725"/>
      <c r="F13" s="725"/>
      <c r="G13" s="725"/>
      <c r="H13" s="725"/>
      <c r="I13" s="725"/>
      <c r="J13" s="725"/>
      <c r="K13" s="725"/>
      <c r="L13" s="725"/>
      <c r="M13" s="725"/>
      <c r="N13" s="725"/>
      <c r="O13" s="725"/>
      <c r="P13" s="725"/>
      <c r="Q13" s="725"/>
      <c r="R13" s="725"/>
    </row>
    <row r="14" spans="1:46" ht="14.95" customHeight="1" x14ac:dyDescent="0.25">
      <c r="A14" t="s">
        <v>355</v>
      </c>
    </row>
    <row r="15" spans="1:46" ht="14.95" customHeight="1" x14ac:dyDescent="0.25">
      <c r="A15" t="s">
        <v>406</v>
      </c>
    </row>
    <row r="16" spans="1:46" x14ac:dyDescent="0.25">
      <c r="A16" s="156"/>
      <c r="B16" t="s">
        <v>44</v>
      </c>
    </row>
    <row r="17" spans="1:2" x14ac:dyDescent="0.25">
      <c r="A17" s="154"/>
      <c r="B17" t="s">
        <v>42</v>
      </c>
    </row>
    <row r="18" spans="1:2" x14ac:dyDescent="0.25">
      <c r="A18" s="155"/>
      <c r="B18" t="s">
        <v>43</v>
      </c>
    </row>
    <row r="19" spans="1:2" x14ac:dyDescent="0.25">
      <c r="A19" s="15" t="s">
        <v>28</v>
      </c>
    </row>
  </sheetData>
  <mergeCells count="15">
    <mergeCell ref="C10:E10"/>
    <mergeCell ref="C11:E11"/>
    <mergeCell ref="A12:R12"/>
    <mergeCell ref="A13:R13"/>
    <mergeCell ref="A1:C1"/>
    <mergeCell ref="E1:G1"/>
    <mergeCell ref="H1:I1"/>
    <mergeCell ref="J1:M1"/>
    <mergeCell ref="C9:E9"/>
    <mergeCell ref="Y1:AB1"/>
    <mergeCell ref="AC1:AF1"/>
    <mergeCell ref="AG1:AJ1"/>
    <mergeCell ref="AK1:AN1"/>
    <mergeCell ref="N1:O1"/>
    <mergeCell ref="P1:R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D16"/>
  <sheetViews>
    <sheetView zoomScaleNormal="100" workbookViewId="0">
      <selection activeCell="S31" sqref="S31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875" customWidth="1"/>
    <col min="5" max="18" width="3.625" customWidth="1"/>
    <col min="19" max="20" width="6.375" customWidth="1"/>
    <col min="21" max="21" width="22.125" bestFit="1" customWidth="1"/>
    <col min="22" max="22" width="24.125" bestFit="1" customWidth="1"/>
    <col min="23" max="23" width="25.875" bestFit="1" customWidth="1"/>
    <col min="24" max="24" width="26.125" bestFit="1" customWidth="1"/>
    <col min="25" max="40" width="3.625" customWidth="1"/>
  </cols>
  <sheetData>
    <row r="1" spans="1:56" ht="14.95" customHeight="1" thickBot="1" x14ac:dyDescent="0.3">
      <c r="A1" s="897" t="s">
        <v>257</v>
      </c>
      <c r="B1" s="898"/>
      <c r="C1" s="898"/>
      <c r="D1" s="158"/>
      <c r="E1" s="899" t="s">
        <v>24</v>
      </c>
      <c r="F1" s="900"/>
      <c r="G1" s="901"/>
      <c r="H1" s="899" t="s">
        <v>23</v>
      </c>
      <c r="I1" s="901"/>
      <c r="J1" s="894" t="s">
        <v>6</v>
      </c>
      <c r="K1" s="895"/>
      <c r="L1" s="895"/>
      <c r="M1" s="896"/>
      <c r="N1" s="894" t="s">
        <v>7</v>
      </c>
      <c r="O1" s="896"/>
      <c r="P1" s="894" t="s">
        <v>25</v>
      </c>
      <c r="Q1" s="895"/>
      <c r="R1" s="896"/>
      <c r="S1" s="466" t="s">
        <v>8</v>
      </c>
      <c r="T1" s="466" t="s">
        <v>9</v>
      </c>
      <c r="U1" s="106" t="s">
        <v>10</v>
      </c>
      <c r="V1" s="105" t="s">
        <v>11</v>
      </c>
      <c r="W1" s="106" t="s">
        <v>26</v>
      </c>
      <c r="X1" s="105" t="s">
        <v>27</v>
      </c>
      <c r="Y1" s="902" t="s">
        <v>20</v>
      </c>
      <c r="Z1" s="747"/>
      <c r="AA1" s="747"/>
      <c r="AB1" s="748"/>
      <c r="AC1" s="902" t="s">
        <v>61</v>
      </c>
      <c r="AD1" s="747"/>
      <c r="AE1" s="747"/>
      <c r="AF1" s="748"/>
      <c r="AG1" s="902" t="s">
        <v>62</v>
      </c>
      <c r="AH1" s="747"/>
      <c r="AI1" s="747"/>
      <c r="AJ1" s="748"/>
      <c r="AK1" s="902" t="s">
        <v>63</v>
      </c>
      <c r="AL1" s="747"/>
      <c r="AM1" s="747"/>
      <c r="AN1" s="748"/>
    </row>
    <row r="2" spans="1:56" ht="14.95" customHeight="1" thickBot="1" x14ac:dyDescent="0.3">
      <c r="A2" s="107" t="s">
        <v>19</v>
      </c>
      <c r="B2" s="108" t="s">
        <v>18</v>
      </c>
      <c r="C2" s="109" t="s">
        <v>17</v>
      </c>
      <c r="D2" s="110" t="s">
        <v>41</v>
      </c>
      <c r="E2" s="110" t="s">
        <v>16</v>
      </c>
      <c r="F2" s="110" t="s">
        <v>4</v>
      </c>
      <c r="G2" s="110" t="s">
        <v>5</v>
      </c>
      <c r="H2" s="111" t="s">
        <v>12</v>
      </c>
      <c r="I2" s="111" t="s">
        <v>3</v>
      </c>
      <c r="J2" s="111" t="s">
        <v>12</v>
      </c>
      <c r="K2" s="111" t="s">
        <v>13</v>
      </c>
      <c r="L2" s="111" t="s">
        <v>2</v>
      </c>
      <c r="M2" s="111" t="s">
        <v>14</v>
      </c>
      <c r="N2" s="111" t="s">
        <v>15</v>
      </c>
      <c r="O2" s="111" t="s">
        <v>16</v>
      </c>
      <c r="P2" s="111" t="s">
        <v>21</v>
      </c>
      <c r="Q2" s="111" t="s">
        <v>22</v>
      </c>
      <c r="R2" s="111" t="s">
        <v>12</v>
      </c>
      <c r="S2" s="112"/>
      <c r="T2" s="113"/>
      <c r="U2" s="114"/>
      <c r="V2" s="112"/>
      <c r="W2" s="114"/>
      <c r="X2" s="214"/>
      <c r="Y2" s="592" t="s">
        <v>0</v>
      </c>
      <c r="Z2" s="592" t="s">
        <v>1</v>
      </c>
      <c r="AA2" s="592" t="s">
        <v>2</v>
      </c>
      <c r="AB2" s="592" t="s">
        <v>3</v>
      </c>
      <c r="AC2" s="592" t="s">
        <v>0</v>
      </c>
      <c r="AD2" s="592" t="s">
        <v>1</v>
      </c>
      <c r="AE2" s="592" t="s">
        <v>2</v>
      </c>
      <c r="AF2" s="592" t="s">
        <v>3</v>
      </c>
      <c r="AG2" s="592" t="s">
        <v>0</v>
      </c>
      <c r="AH2" s="592" t="s">
        <v>1</v>
      </c>
      <c r="AI2" s="592" t="s">
        <v>2</v>
      </c>
      <c r="AJ2" s="592" t="s">
        <v>3</v>
      </c>
      <c r="AK2" s="592" t="s">
        <v>0</v>
      </c>
      <c r="AL2" s="592" t="s">
        <v>1</v>
      </c>
      <c r="AM2" s="592" t="s">
        <v>2</v>
      </c>
      <c r="AN2" s="592" t="s">
        <v>3</v>
      </c>
    </row>
    <row r="3" spans="1:56" ht="14.95" customHeight="1" thickBot="1" x14ac:dyDescent="0.3">
      <c r="A3" s="357">
        <v>43862</v>
      </c>
      <c r="B3" s="174" t="s">
        <v>112</v>
      </c>
      <c r="C3" s="174" t="s">
        <v>38</v>
      </c>
      <c r="D3" s="175" t="s">
        <v>252</v>
      </c>
      <c r="E3" s="175" t="s">
        <v>3</v>
      </c>
      <c r="F3" s="175">
        <v>13</v>
      </c>
      <c r="G3" s="175">
        <v>41</v>
      </c>
      <c r="H3" s="175">
        <v>0</v>
      </c>
      <c r="I3" s="175">
        <v>0</v>
      </c>
      <c r="J3" s="175">
        <v>1</v>
      </c>
      <c r="K3" s="175">
        <v>1</v>
      </c>
      <c r="L3" s="175">
        <v>0</v>
      </c>
      <c r="M3" s="175">
        <v>2</v>
      </c>
      <c r="N3" s="175">
        <v>0</v>
      </c>
      <c r="O3" s="175">
        <v>0</v>
      </c>
      <c r="P3" s="175">
        <v>1</v>
      </c>
      <c r="Q3" s="175">
        <v>0</v>
      </c>
      <c r="R3" s="175">
        <v>6</v>
      </c>
      <c r="S3" s="176">
        <v>20000</v>
      </c>
      <c r="T3" s="219" t="s">
        <v>256</v>
      </c>
      <c r="U3" s="177" t="s">
        <v>157</v>
      </c>
      <c r="V3" s="176" t="s">
        <v>153</v>
      </c>
      <c r="W3" s="178" t="s">
        <v>254</v>
      </c>
      <c r="X3" s="179" t="s">
        <v>255</v>
      </c>
      <c r="Y3" s="180">
        <v>1</v>
      </c>
      <c r="Z3" s="180">
        <v>0</v>
      </c>
      <c r="AA3" s="180">
        <v>0</v>
      </c>
      <c r="AB3" s="181">
        <v>1</v>
      </c>
      <c r="AC3" s="180">
        <v>1</v>
      </c>
      <c r="AD3" s="180">
        <v>0</v>
      </c>
      <c r="AE3" s="180">
        <v>0</v>
      </c>
      <c r="AF3" s="181">
        <v>1</v>
      </c>
      <c r="AG3" s="180">
        <v>0</v>
      </c>
      <c r="AH3" s="180">
        <v>0</v>
      </c>
      <c r="AI3" s="180">
        <v>0</v>
      </c>
      <c r="AJ3" s="181">
        <v>0</v>
      </c>
      <c r="AK3" s="180">
        <v>0</v>
      </c>
      <c r="AL3" s="180">
        <v>0</v>
      </c>
      <c r="AM3" s="180">
        <v>0</v>
      </c>
      <c r="AN3" s="181">
        <v>0</v>
      </c>
    </row>
    <row r="4" spans="1:56" ht="14.95" customHeight="1" thickBot="1" x14ac:dyDescent="0.3">
      <c r="A4" s="183">
        <v>43869</v>
      </c>
      <c r="B4" s="174" t="s">
        <v>112</v>
      </c>
      <c r="C4" s="174" t="s">
        <v>147</v>
      </c>
      <c r="D4" s="175" t="s">
        <v>301</v>
      </c>
      <c r="E4" s="175" t="s">
        <v>3</v>
      </c>
      <c r="F4" s="175">
        <v>11</v>
      </c>
      <c r="G4" s="175">
        <v>22</v>
      </c>
      <c r="H4" s="175">
        <v>0</v>
      </c>
      <c r="I4" s="175">
        <v>0</v>
      </c>
      <c r="J4" s="175">
        <v>1</v>
      </c>
      <c r="K4" s="175">
        <v>0</v>
      </c>
      <c r="L4" s="175">
        <v>0</v>
      </c>
      <c r="M4" s="175">
        <v>2</v>
      </c>
      <c r="N4" s="175">
        <v>1</v>
      </c>
      <c r="O4" s="175">
        <v>0</v>
      </c>
      <c r="P4" s="175">
        <v>0</v>
      </c>
      <c r="Q4" s="175">
        <v>0</v>
      </c>
      <c r="R4" s="175">
        <v>3</v>
      </c>
      <c r="S4" s="176">
        <v>1500</v>
      </c>
      <c r="T4" s="219" t="s">
        <v>302</v>
      </c>
      <c r="U4" s="177" t="s">
        <v>156</v>
      </c>
      <c r="V4" s="176" t="s">
        <v>153</v>
      </c>
      <c r="W4" s="178" t="s">
        <v>303</v>
      </c>
      <c r="X4" s="179" t="s">
        <v>304</v>
      </c>
      <c r="Y4" s="180">
        <v>1</v>
      </c>
      <c r="Z4" s="180">
        <v>0</v>
      </c>
      <c r="AA4" s="180">
        <v>0</v>
      </c>
      <c r="AB4" s="181">
        <v>1</v>
      </c>
      <c r="AC4" s="180">
        <v>0</v>
      </c>
      <c r="AD4" s="180">
        <v>0</v>
      </c>
      <c r="AE4" s="180">
        <v>0</v>
      </c>
      <c r="AF4" s="181">
        <v>0</v>
      </c>
      <c r="AG4" s="180">
        <v>1</v>
      </c>
      <c r="AH4" s="180">
        <v>0</v>
      </c>
      <c r="AI4" s="180">
        <v>0</v>
      </c>
      <c r="AJ4" s="181">
        <v>1</v>
      </c>
      <c r="AK4" s="180">
        <v>0</v>
      </c>
      <c r="AL4" s="180">
        <v>0</v>
      </c>
      <c r="AM4" s="180">
        <v>0</v>
      </c>
      <c r="AN4" s="181">
        <v>0</v>
      </c>
    </row>
    <row r="5" spans="1:56" ht="14.95" customHeight="1" thickBot="1" x14ac:dyDescent="0.35">
      <c r="A5" s="191">
        <v>43883</v>
      </c>
      <c r="B5" s="192" t="s">
        <v>112</v>
      </c>
      <c r="C5" s="192" t="s">
        <v>146</v>
      </c>
      <c r="D5" s="193" t="s">
        <v>319</v>
      </c>
      <c r="E5" s="193" t="s">
        <v>1</v>
      </c>
      <c r="F5" s="193">
        <v>24</v>
      </c>
      <c r="G5" s="193">
        <v>7</v>
      </c>
      <c r="H5" s="193">
        <v>0</v>
      </c>
      <c r="I5" s="193">
        <v>0</v>
      </c>
      <c r="J5" s="193">
        <v>2</v>
      </c>
      <c r="K5" s="193">
        <v>1</v>
      </c>
      <c r="L5" s="193">
        <v>0</v>
      </c>
      <c r="M5" s="193">
        <v>4</v>
      </c>
      <c r="N5" s="193">
        <v>3</v>
      </c>
      <c r="O5" s="193">
        <v>0</v>
      </c>
      <c r="P5" s="193">
        <v>0</v>
      </c>
      <c r="Q5" s="193">
        <v>0</v>
      </c>
      <c r="R5" s="193">
        <v>1</v>
      </c>
      <c r="S5" s="205">
        <v>1500</v>
      </c>
      <c r="T5" s="312" t="s">
        <v>321</v>
      </c>
      <c r="U5" s="206" t="s">
        <v>322</v>
      </c>
      <c r="V5" s="205" t="s">
        <v>153</v>
      </c>
      <c r="W5" s="194" t="s">
        <v>297</v>
      </c>
      <c r="X5" s="207" t="s">
        <v>298</v>
      </c>
      <c r="Y5" s="208">
        <v>1</v>
      </c>
      <c r="Z5" s="208">
        <v>1</v>
      </c>
      <c r="AA5" s="208">
        <v>0</v>
      </c>
      <c r="AB5" s="209">
        <v>0</v>
      </c>
      <c r="AC5" s="208">
        <v>1</v>
      </c>
      <c r="AD5" s="208">
        <v>1</v>
      </c>
      <c r="AE5" s="208">
        <v>0</v>
      </c>
      <c r="AF5" s="209">
        <v>0</v>
      </c>
      <c r="AG5" s="208">
        <v>0</v>
      </c>
      <c r="AH5" s="208">
        <v>0</v>
      </c>
      <c r="AI5" s="208">
        <v>0</v>
      </c>
      <c r="AJ5" s="209">
        <v>0</v>
      </c>
      <c r="AK5" s="208">
        <v>0</v>
      </c>
      <c r="AL5" s="208">
        <v>0</v>
      </c>
      <c r="AM5" s="208">
        <v>0</v>
      </c>
      <c r="AN5" s="209">
        <v>0</v>
      </c>
    </row>
    <row r="6" spans="1:56" ht="14.95" customHeight="1" thickBot="1" x14ac:dyDescent="0.3">
      <c r="A6" s="183">
        <v>43897</v>
      </c>
      <c r="B6" s="174" t="s">
        <v>112</v>
      </c>
      <c r="C6" s="174" t="s">
        <v>105</v>
      </c>
      <c r="D6" s="175" t="s">
        <v>331</v>
      </c>
      <c r="E6" s="175" t="s">
        <v>3</v>
      </c>
      <c r="F6" s="175">
        <v>25</v>
      </c>
      <c r="G6" s="175">
        <v>32</v>
      </c>
      <c r="H6" s="175">
        <v>0</v>
      </c>
      <c r="I6" s="175">
        <v>1</v>
      </c>
      <c r="J6" s="175">
        <v>3</v>
      </c>
      <c r="K6" s="175">
        <v>2</v>
      </c>
      <c r="L6" s="175">
        <v>0</v>
      </c>
      <c r="M6" s="175">
        <v>2</v>
      </c>
      <c r="N6" s="175">
        <v>2</v>
      </c>
      <c r="O6" s="175">
        <v>0</v>
      </c>
      <c r="P6" s="175">
        <v>1</v>
      </c>
      <c r="Q6" s="175">
        <v>0</v>
      </c>
      <c r="R6" s="175">
        <v>4</v>
      </c>
      <c r="S6" s="176">
        <v>3100</v>
      </c>
      <c r="T6" s="219" t="s">
        <v>213</v>
      </c>
      <c r="U6" s="177" t="s">
        <v>335</v>
      </c>
      <c r="V6" s="176" t="s">
        <v>153</v>
      </c>
      <c r="W6" s="178" t="s">
        <v>310</v>
      </c>
      <c r="X6" s="179" t="s">
        <v>336</v>
      </c>
      <c r="Y6" s="180">
        <v>1</v>
      </c>
      <c r="Z6" s="180">
        <v>0</v>
      </c>
      <c r="AA6" s="180">
        <v>0</v>
      </c>
      <c r="AB6" s="181">
        <v>1</v>
      </c>
      <c r="AC6" s="180">
        <v>0</v>
      </c>
      <c r="AD6" s="180">
        <v>0</v>
      </c>
      <c r="AE6" s="180">
        <v>0</v>
      </c>
      <c r="AF6" s="181">
        <v>0</v>
      </c>
      <c r="AG6" s="180">
        <v>1</v>
      </c>
      <c r="AH6" s="180">
        <v>0</v>
      </c>
      <c r="AI6" s="180">
        <v>0</v>
      </c>
      <c r="AJ6" s="181">
        <v>1</v>
      </c>
      <c r="AK6" s="180">
        <v>0</v>
      </c>
      <c r="AL6" s="180">
        <v>0</v>
      </c>
      <c r="AM6" s="180">
        <v>0</v>
      </c>
      <c r="AN6" s="181">
        <v>0</v>
      </c>
    </row>
    <row r="7" spans="1:56" ht="14.95" thickBot="1" x14ac:dyDescent="0.3">
      <c r="A7" s="387"/>
      <c r="B7" s="388"/>
      <c r="C7" s="769" t="s">
        <v>111</v>
      </c>
      <c r="D7" s="770"/>
      <c r="E7" s="771"/>
      <c r="F7" s="386">
        <f t="shared" ref="F7:R7" si="0">SUM(F3:F6)</f>
        <v>73</v>
      </c>
      <c r="G7" s="386">
        <f t="shared" si="0"/>
        <v>102</v>
      </c>
      <c r="H7" s="386">
        <f t="shared" si="0"/>
        <v>0</v>
      </c>
      <c r="I7" s="386">
        <f t="shared" si="0"/>
        <v>1</v>
      </c>
      <c r="J7" s="386">
        <f t="shared" si="0"/>
        <v>7</v>
      </c>
      <c r="K7" s="386">
        <f t="shared" si="0"/>
        <v>4</v>
      </c>
      <c r="L7" s="386">
        <f t="shared" si="0"/>
        <v>0</v>
      </c>
      <c r="M7" s="386">
        <f t="shared" si="0"/>
        <v>10</v>
      </c>
      <c r="N7" s="386">
        <f t="shared" si="0"/>
        <v>6</v>
      </c>
      <c r="O7" s="386">
        <f t="shared" si="0"/>
        <v>0</v>
      </c>
      <c r="P7" s="386">
        <f t="shared" si="0"/>
        <v>2</v>
      </c>
      <c r="Q7" s="386">
        <f t="shared" si="0"/>
        <v>0</v>
      </c>
      <c r="R7" s="386">
        <f t="shared" si="0"/>
        <v>14</v>
      </c>
      <c r="W7" s="383"/>
      <c r="X7" s="612" t="s">
        <v>111</v>
      </c>
      <c r="Y7" s="386">
        <f t="shared" ref="Y7:AN7" si="1">SUM(Y3:Y6)</f>
        <v>4</v>
      </c>
      <c r="Z7" s="386">
        <f t="shared" si="1"/>
        <v>1</v>
      </c>
      <c r="AA7" s="386">
        <f t="shared" si="1"/>
        <v>0</v>
      </c>
      <c r="AB7" s="386">
        <f t="shared" si="1"/>
        <v>3</v>
      </c>
      <c r="AC7" s="384">
        <f t="shared" si="1"/>
        <v>2</v>
      </c>
      <c r="AD7" s="384">
        <f t="shared" si="1"/>
        <v>1</v>
      </c>
      <c r="AE7" s="384">
        <f t="shared" si="1"/>
        <v>0</v>
      </c>
      <c r="AF7" s="384">
        <f t="shared" si="1"/>
        <v>1</v>
      </c>
      <c r="AG7" s="385">
        <f t="shared" si="1"/>
        <v>2</v>
      </c>
      <c r="AH7" s="385">
        <f t="shared" si="1"/>
        <v>0</v>
      </c>
      <c r="AI7" s="385">
        <f t="shared" si="1"/>
        <v>0</v>
      </c>
      <c r="AJ7" s="385">
        <f t="shared" si="1"/>
        <v>2</v>
      </c>
      <c r="AK7" s="386">
        <f t="shared" si="1"/>
        <v>0</v>
      </c>
      <c r="AL7" s="386">
        <f t="shared" si="1"/>
        <v>0</v>
      </c>
      <c r="AM7" s="386">
        <f t="shared" si="1"/>
        <v>0</v>
      </c>
      <c r="AN7" s="386">
        <f t="shared" si="1"/>
        <v>0</v>
      </c>
    </row>
    <row r="8" spans="1:56" ht="14.95" thickBot="1" x14ac:dyDescent="0.3">
      <c r="A8" s="387"/>
      <c r="B8" s="388"/>
      <c r="C8" s="732" t="s">
        <v>108</v>
      </c>
      <c r="D8" s="733"/>
      <c r="E8" s="734"/>
      <c r="F8" s="552">
        <f t="shared" ref="F8:R8" si="2">SUM(F3:F6)</f>
        <v>73</v>
      </c>
      <c r="G8" s="552">
        <f t="shared" si="2"/>
        <v>102</v>
      </c>
      <c r="H8" s="552">
        <f t="shared" si="2"/>
        <v>0</v>
      </c>
      <c r="I8" s="552">
        <f t="shared" si="2"/>
        <v>1</v>
      </c>
      <c r="J8" s="552">
        <f t="shared" si="2"/>
        <v>7</v>
      </c>
      <c r="K8" s="552">
        <f t="shared" si="2"/>
        <v>4</v>
      </c>
      <c r="L8" s="552">
        <f t="shared" si="2"/>
        <v>0</v>
      </c>
      <c r="M8" s="552">
        <f t="shared" si="2"/>
        <v>10</v>
      </c>
      <c r="N8" s="552">
        <f t="shared" si="2"/>
        <v>6</v>
      </c>
      <c r="O8" s="552">
        <f t="shared" si="2"/>
        <v>0</v>
      </c>
      <c r="P8" s="552">
        <f t="shared" si="2"/>
        <v>2</v>
      </c>
      <c r="Q8" s="552">
        <f t="shared" si="2"/>
        <v>0</v>
      </c>
      <c r="R8" s="552">
        <f t="shared" si="2"/>
        <v>14</v>
      </c>
      <c r="S8" s="548"/>
      <c r="T8" s="548"/>
      <c r="U8" s="548"/>
      <c r="V8" s="548"/>
      <c r="W8" s="13"/>
      <c r="X8" s="596" t="s">
        <v>108</v>
      </c>
      <c r="Y8" s="552">
        <f t="shared" ref="Y8:AN8" si="3">SUM(Y3:Y6)</f>
        <v>4</v>
      </c>
      <c r="Z8" s="552">
        <f t="shared" si="3"/>
        <v>1</v>
      </c>
      <c r="AA8" s="552">
        <f t="shared" si="3"/>
        <v>0</v>
      </c>
      <c r="AB8" s="552">
        <f t="shared" si="3"/>
        <v>3</v>
      </c>
      <c r="AC8" s="550">
        <f t="shared" si="3"/>
        <v>2</v>
      </c>
      <c r="AD8" s="550">
        <f t="shared" si="3"/>
        <v>1</v>
      </c>
      <c r="AE8" s="550">
        <f t="shared" si="3"/>
        <v>0</v>
      </c>
      <c r="AF8" s="550">
        <f t="shared" si="3"/>
        <v>1</v>
      </c>
      <c r="AG8" s="551">
        <f t="shared" si="3"/>
        <v>2</v>
      </c>
      <c r="AH8" s="551">
        <f t="shared" si="3"/>
        <v>0</v>
      </c>
      <c r="AI8" s="551">
        <f t="shared" si="3"/>
        <v>0</v>
      </c>
      <c r="AJ8" s="551">
        <f t="shared" si="3"/>
        <v>2</v>
      </c>
      <c r="AK8" s="552">
        <f t="shared" si="3"/>
        <v>0</v>
      </c>
      <c r="AL8" s="552">
        <f t="shared" si="3"/>
        <v>0</v>
      </c>
      <c r="AM8" s="552">
        <f t="shared" si="3"/>
        <v>0</v>
      </c>
      <c r="AN8" s="552">
        <f t="shared" si="3"/>
        <v>0</v>
      </c>
    </row>
    <row r="9" spans="1:56" x14ac:dyDescent="0.25">
      <c r="A9" s="762" t="s">
        <v>300</v>
      </c>
      <c r="B9" s="725"/>
      <c r="C9" s="725"/>
      <c r="D9" s="725"/>
      <c r="E9" s="725"/>
      <c r="F9" s="725"/>
      <c r="G9" s="725"/>
      <c r="H9" s="725"/>
      <c r="I9" s="725"/>
      <c r="J9" s="725"/>
      <c r="K9" s="725"/>
      <c r="L9" s="725"/>
      <c r="M9" s="725"/>
      <c r="N9" s="725"/>
      <c r="O9" s="725"/>
      <c r="P9" s="725"/>
      <c r="Q9" s="725"/>
      <c r="R9" s="725"/>
      <c r="S9" s="725"/>
      <c r="T9" s="725"/>
      <c r="U9" s="725"/>
      <c r="V9" s="725"/>
      <c r="W9" s="725"/>
      <c r="X9" s="725"/>
      <c r="Y9" s="725"/>
      <c r="Z9" s="725"/>
      <c r="AA9" s="725"/>
      <c r="AB9" s="725"/>
      <c r="AC9" s="725"/>
      <c r="AD9" s="725"/>
      <c r="AE9" s="725"/>
      <c r="AF9" s="725"/>
      <c r="AG9" s="725"/>
      <c r="AH9" s="725"/>
      <c r="AI9" s="725"/>
      <c r="AJ9" s="725"/>
      <c r="AK9" s="725"/>
      <c r="AL9" s="725"/>
      <c r="AM9" s="725"/>
      <c r="AN9" s="725"/>
      <c r="AO9" s="725"/>
      <c r="AP9" s="725"/>
      <c r="AQ9" s="725"/>
      <c r="AR9" s="725"/>
      <c r="AS9" s="725"/>
      <c r="AT9" s="725"/>
      <c r="AU9" s="725"/>
      <c r="AV9" s="725"/>
      <c r="AW9" s="725"/>
      <c r="AX9" s="725"/>
      <c r="AY9" s="725"/>
      <c r="AZ9" s="725"/>
      <c r="BA9" s="725"/>
      <c r="BB9" s="725"/>
      <c r="BC9" s="725"/>
      <c r="BD9" s="725"/>
    </row>
    <row r="10" spans="1:56" x14ac:dyDescent="0.25">
      <c r="A10" t="s">
        <v>333</v>
      </c>
      <c r="F10" s="14"/>
      <c r="G10" s="14"/>
      <c r="H10" s="13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56" x14ac:dyDescent="0.25">
      <c r="A11" t="s">
        <v>160</v>
      </c>
      <c r="F11" s="14"/>
      <c r="G11" s="14"/>
      <c r="H11" s="13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56" x14ac:dyDescent="0.25">
      <c r="A12" t="s">
        <v>226</v>
      </c>
      <c r="F12" s="14"/>
      <c r="G12" s="14"/>
      <c r="H12" s="13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56" x14ac:dyDescent="0.25">
      <c r="A13" s="156"/>
      <c r="B13" t="s">
        <v>44</v>
      </c>
    </row>
    <row r="14" spans="1:56" x14ac:dyDescent="0.25">
      <c r="A14" s="154"/>
      <c r="B14" t="s">
        <v>42</v>
      </c>
    </row>
    <row r="15" spans="1:56" x14ac:dyDescent="0.25">
      <c r="A15" s="155"/>
      <c r="B15" t="s">
        <v>43</v>
      </c>
    </row>
    <row r="16" spans="1:56" x14ac:dyDescent="0.25">
      <c r="A16" s="15" t="s">
        <v>28</v>
      </c>
    </row>
  </sheetData>
  <mergeCells count="13">
    <mergeCell ref="A9:BD9"/>
    <mergeCell ref="C7:E7"/>
    <mergeCell ref="C8:E8"/>
    <mergeCell ref="P1:R1"/>
    <mergeCell ref="A1:C1"/>
    <mergeCell ref="E1:G1"/>
    <mergeCell ref="H1:I1"/>
    <mergeCell ref="J1:M1"/>
    <mergeCell ref="N1:O1"/>
    <mergeCell ref="Y1:AB1"/>
    <mergeCell ref="AC1:AF1"/>
    <mergeCell ref="AG1:AJ1"/>
    <mergeCell ref="AK1:AN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4A15C-9E16-4CAC-A270-924726D8417E}">
  <dimension ref="A1:AT21"/>
  <sheetViews>
    <sheetView workbookViewId="0">
      <selection activeCell="L19" sqref="L19"/>
    </sheetView>
  </sheetViews>
  <sheetFormatPr defaultRowHeight="14.3" x14ac:dyDescent="0.25"/>
  <cols>
    <col min="1" max="1" width="7.5" customWidth="1"/>
    <col min="2" max="2" width="5.5" customWidth="1"/>
    <col min="3" max="3" width="12.625" customWidth="1"/>
    <col min="4" max="4" width="4.875" customWidth="1"/>
    <col min="5" max="18" width="3.625" customWidth="1"/>
    <col min="19" max="20" width="6.375" customWidth="1"/>
    <col min="21" max="21" width="23" bestFit="1" customWidth="1"/>
    <col min="22" max="22" width="22.125" customWidth="1"/>
    <col min="23" max="23" width="25.875" bestFit="1" customWidth="1"/>
    <col min="24" max="24" width="24.375" bestFit="1" customWidth="1"/>
    <col min="25" max="40" width="3.625" customWidth="1"/>
    <col min="41" max="41" width="5.625" customWidth="1"/>
    <col min="42" max="42" width="13.125" bestFit="1" customWidth="1"/>
    <col min="45" max="45" width="13.125" bestFit="1" customWidth="1"/>
  </cols>
  <sheetData>
    <row r="1" spans="1:46" ht="14.95" thickBot="1" x14ac:dyDescent="0.3">
      <c r="A1" s="907" t="s">
        <v>246</v>
      </c>
      <c r="B1" s="908"/>
      <c r="C1" s="908"/>
      <c r="D1" s="451"/>
      <c r="E1" s="909" t="s">
        <v>24</v>
      </c>
      <c r="F1" s="910"/>
      <c r="G1" s="911"/>
      <c r="H1" s="909" t="s">
        <v>23</v>
      </c>
      <c r="I1" s="911"/>
      <c r="J1" s="904" t="s">
        <v>6</v>
      </c>
      <c r="K1" s="905"/>
      <c r="L1" s="905"/>
      <c r="M1" s="906"/>
      <c r="N1" s="904" t="s">
        <v>7</v>
      </c>
      <c r="O1" s="906"/>
      <c r="P1" s="904" t="s">
        <v>25</v>
      </c>
      <c r="Q1" s="905"/>
      <c r="R1" s="906"/>
      <c r="S1" s="588" t="s">
        <v>8</v>
      </c>
      <c r="T1" s="588" t="s">
        <v>9</v>
      </c>
      <c r="U1" s="453" t="s">
        <v>10</v>
      </c>
      <c r="V1" s="452" t="s">
        <v>11</v>
      </c>
      <c r="W1" s="454" t="s">
        <v>26</v>
      </c>
      <c r="X1" s="455" t="s">
        <v>27</v>
      </c>
      <c r="Y1" s="903" t="s">
        <v>20</v>
      </c>
      <c r="Z1" s="747"/>
      <c r="AA1" s="747"/>
      <c r="AB1" s="748"/>
      <c r="AC1" s="903" t="s">
        <v>61</v>
      </c>
      <c r="AD1" s="747"/>
      <c r="AE1" s="747"/>
      <c r="AF1" s="748"/>
      <c r="AG1" s="903" t="s">
        <v>62</v>
      </c>
      <c r="AH1" s="747"/>
      <c r="AI1" s="747"/>
      <c r="AJ1" s="748"/>
      <c r="AK1" s="903" t="s">
        <v>63</v>
      </c>
      <c r="AL1" s="747"/>
      <c r="AM1" s="747"/>
      <c r="AN1" s="748"/>
      <c r="AP1" s="456" t="s">
        <v>193</v>
      </c>
      <c r="AQ1" s="520"/>
      <c r="AR1" s="520"/>
      <c r="AS1" s="456" t="s">
        <v>193</v>
      </c>
    </row>
    <row r="2" spans="1:46" ht="14.95" customHeight="1" thickBot="1" x14ac:dyDescent="0.3">
      <c r="A2" s="457" t="s">
        <v>19</v>
      </c>
      <c r="B2" s="458" t="s">
        <v>18</v>
      </c>
      <c r="C2" s="459" t="s">
        <v>17</v>
      </c>
      <c r="D2" s="460" t="s">
        <v>41</v>
      </c>
      <c r="E2" s="460" t="s">
        <v>16</v>
      </c>
      <c r="F2" s="460" t="s">
        <v>4</v>
      </c>
      <c r="G2" s="460" t="s">
        <v>5</v>
      </c>
      <c r="H2" s="461" t="s">
        <v>12</v>
      </c>
      <c r="I2" s="461" t="s">
        <v>3</v>
      </c>
      <c r="J2" s="461" t="s">
        <v>12</v>
      </c>
      <c r="K2" s="461" t="s">
        <v>13</v>
      </c>
      <c r="L2" s="461" t="s">
        <v>2</v>
      </c>
      <c r="M2" s="461" t="s">
        <v>14</v>
      </c>
      <c r="N2" s="461" t="s">
        <v>15</v>
      </c>
      <c r="O2" s="461" t="s">
        <v>16</v>
      </c>
      <c r="P2" s="461" t="s">
        <v>21</v>
      </c>
      <c r="Q2" s="461" t="s">
        <v>22</v>
      </c>
      <c r="R2" s="461" t="s">
        <v>12</v>
      </c>
      <c r="S2" s="462"/>
      <c r="T2" s="463"/>
      <c r="U2" s="464"/>
      <c r="V2" s="462"/>
      <c r="W2" s="464"/>
      <c r="X2" s="465"/>
      <c r="Y2" s="567" t="s">
        <v>0</v>
      </c>
      <c r="Z2" s="567" t="s">
        <v>1</v>
      </c>
      <c r="AA2" s="567" t="s">
        <v>2</v>
      </c>
      <c r="AB2" s="567" t="s">
        <v>3</v>
      </c>
      <c r="AC2" s="567" t="s">
        <v>0</v>
      </c>
      <c r="AD2" s="567" t="s">
        <v>1</v>
      </c>
      <c r="AE2" s="567" t="s">
        <v>2</v>
      </c>
      <c r="AF2" s="567" t="s">
        <v>3</v>
      </c>
      <c r="AG2" s="567" t="s">
        <v>0</v>
      </c>
      <c r="AH2" s="567" t="s">
        <v>1</v>
      </c>
      <c r="AI2" s="567" t="s">
        <v>2</v>
      </c>
      <c r="AJ2" s="567" t="s">
        <v>3</v>
      </c>
      <c r="AK2" s="567" t="s">
        <v>0</v>
      </c>
      <c r="AL2" s="567" t="s">
        <v>1</v>
      </c>
      <c r="AM2" s="567" t="s">
        <v>2</v>
      </c>
      <c r="AN2" s="567" t="s">
        <v>3</v>
      </c>
      <c r="AP2" s="481" t="s">
        <v>108</v>
      </c>
      <c r="AQ2" s="249"/>
      <c r="AS2" s="482" t="s">
        <v>167</v>
      </c>
      <c r="AT2" s="249"/>
    </row>
    <row r="3" spans="1:46" ht="14.95" customHeight="1" thickBot="1" x14ac:dyDescent="0.3">
      <c r="A3" s="416">
        <v>43862</v>
      </c>
      <c r="B3" s="192" t="s">
        <v>112</v>
      </c>
      <c r="C3" s="192" t="s">
        <v>146</v>
      </c>
      <c r="D3" s="193" t="s">
        <v>155</v>
      </c>
      <c r="E3" s="193" t="s">
        <v>3</v>
      </c>
      <c r="F3" s="193">
        <v>12</v>
      </c>
      <c r="G3" s="193">
        <v>31</v>
      </c>
      <c r="H3" s="193">
        <v>0</v>
      </c>
      <c r="I3" s="193">
        <v>0</v>
      </c>
      <c r="J3" s="193">
        <v>2</v>
      </c>
      <c r="K3" s="193">
        <v>1</v>
      </c>
      <c r="L3" s="193">
        <v>0</v>
      </c>
      <c r="M3" s="193">
        <v>0</v>
      </c>
      <c r="N3" s="193">
        <v>0</v>
      </c>
      <c r="O3" s="193">
        <v>0</v>
      </c>
      <c r="P3" s="193">
        <v>1</v>
      </c>
      <c r="Q3" s="193">
        <v>0</v>
      </c>
      <c r="R3" s="193">
        <v>5</v>
      </c>
      <c r="S3" s="205">
        <v>8237</v>
      </c>
      <c r="T3" s="218" t="s">
        <v>247</v>
      </c>
      <c r="U3" s="206" t="s">
        <v>248</v>
      </c>
      <c r="V3" s="205" t="s">
        <v>153</v>
      </c>
      <c r="W3" s="194" t="s">
        <v>249</v>
      </c>
      <c r="X3" s="207" t="s">
        <v>250</v>
      </c>
      <c r="Y3" s="208">
        <v>1</v>
      </c>
      <c r="Z3" s="208">
        <v>0</v>
      </c>
      <c r="AA3" s="208">
        <v>0</v>
      </c>
      <c r="AB3" s="209">
        <v>1</v>
      </c>
      <c r="AC3" s="208">
        <v>1</v>
      </c>
      <c r="AD3" s="208">
        <v>0</v>
      </c>
      <c r="AE3" s="208">
        <v>0</v>
      </c>
      <c r="AF3" s="209">
        <v>1</v>
      </c>
      <c r="AG3" s="208">
        <v>0</v>
      </c>
      <c r="AH3" s="208">
        <v>0</v>
      </c>
      <c r="AI3" s="208">
        <v>0</v>
      </c>
      <c r="AJ3" s="209">
        <v>0</v>
      </c>
      <c r="AK3" s="208">
        <v>0</v>
      </c>
      <c r="AL3" s="208">
        <v>0</v>
      </c>
      <c r="AM3" s="208">
        <v>0</v>
      </c>
      <c r="AN3" s="209">
        <v>0</v>
      </c>
      <c r="AP3" s="501" t="s">
        <v>170</v>
      </c>
      <c r="AQ3" s="502">
        <f>Russiaalltestshistplayed</f>
        <v>221</v>
      </c>
      <c r="AS3" s="501" t="s">
        <v>170</v>
      </c>
      <c r="AT3" s="502">
        <f>RussiaRWChistplayed</f>
        <v>8</v>
      </c>
    </row>
    <row r="4" spans="1:46" ht="17" thickBot="1" x14ac:dyDescent="0.35">
      <c r="A4" s="183">
        <v>43869</v>
      </c>
      <c r="B4" s="174" t="s">
        <v>112</v>
      </c>
      <c r="C4" s="174" t="s">
        <v>143</v>
      </c>
      <c r="D4" s="175" t="s">
        <v>292</v>
      </c>
      <c r="E4" s="175" t="s">
        <v>3</v>
      </c>
      <c r="F4" s="175">
        <v>12</v>
      </c>
      <c r="G4" s="175">
        <v>38</v>
      </c>
      <c r="H4" s="175">
        <v>0</v>
      </c>
      <c r="I4" s="175">
        <v>0</v>
      </c>
      <c r="J4" s="175">
        <v>2</v>
      </c>
      <c r="K4" s="175">
        <v>1</v>
      </c>
      <c r="L4" s="175">
        <v>0</v>
      </c>
      <c r="M4" s="175">
        <v>0</v>
      </c>
      <c r="N4" s="175">
        <v>0</v>
      </c>
      <c r="O4" s="175">
        <v>0</v>
      </c>
      <c r="P4" s="175">
        <v>1</v>
      </c>
      <c r="Q4" s="175">
        <v>0</v>
      </c>
      <c r="R4" s="175">
        <v>5</v>
      </c>
      <c r="S4" s="176">
        <v>2500</v>
      </c>
      <c r="T4" s="409" t="s">
        <v>137</v>
      </c>
      <c r="U4" s="177" t="s">
        <v>296</v>
      </c>
      <c r="V4" s="176" t="s">
        <v>153</v>
      </c>
      <c r="W4" s="178" t="s">
        <v>297</v>
      </c>
      <c r="X4" s="179" t="s">
        <v>298</v>
      </c>
      <c r="Y4" s="180">
        <v>1</v>
      </c>
      <c r="Z4" s="180">
        <v>0</v>
      </c>
      <c r="AA4" s="180">
        <v>0</v>
      </c>
      <c r="AB4" s="181">
        <v>1</v>
      </c>
      <c r="AC4" s="180">
        <v>0</v>
      </c>
      <c r="AD4" s="180">
        <v>0</v>
      </c>
      <c r="AE4" s="180">
        <v>0</v>
      </c>
      <c r="AF4" s="181">
        <v>0</v>
      </c>
      <c r="AG4" s="180">
        <v>1</v>
      </c>
      <c r="AH4" s="180">
        <v>0</v>
      </c>
      <c r="AI4" s="180">
        <v>0</v>
      </c>
      <c r="AJ4" s="181">
        <v>1</v>
      </c>
      <c r="AK4" s="180">
        <v>0</v>
      </c>
      <c r="AL4" s="180">
        <v>0</v>
      </c>
      <c r="AM4" s="180">
        <v>0</v>
      </c>
      <c r="AN4" s="181">
        <v>0</v>
      </c>
      <c r="AP4" s="503" t="s">
        <v>171</v>
      </c>
      <c r="AQ4" s="504">
        <f>Russiaalltestshistwon</f>
        <v>110</v>
      </c>
      <c r="AS4" s="503" t="s">
        <v>171</v>
      </c>
      <c r="AT4" s="504">
        <f>RussiaRWChistwon</f>
        <v>0</v>
      </c>
    </row>
    <row r="5" spans="1:46" ht="17" thickBot="1" x14ac:dyDescent="0.35">
      <c r="A5" s="191">
        <v>43883</v>
      </c>
      <c r="B5" s="192" t="s">
        <v>112</v>
      </c>
      <c r="C5" s="192" t="s">
        <v>147</v>
      </c>
      <c r="D5" s="193" t="s">
        <v>323</v>
      </c>
      <c r="E5" s="193" t="s">
        <v>1</v>
      </c>
      <c r="F5" s="193">
        <v>19</v>
      </c>
      <c r="G5" s="193">
        <v>18</v>
      </c>
      <c r="H5" s="193">
        <v>0</v>
      </c>
      <c r="I5" s="193">
        <v>0</v>
      </c>
      <c r="J5" s="193">
        <v>1</v>
      </c>
      <c r="K5" s="193">
        <v>1</v>
      </c>
      <c r="L5" s="193">
        <v>0</v>
      </c>
      <c r="M5" s="193">
        <v>4</v>
      </c>
      <c r="N5" s="193">
        <v>0</v>
      </c>
      <c r="O5" s="193">
        <v>0</v>
      </c>
      <c r="P5" s="193">
        <v>0</v>
      </c>
      <c r="Q5" s="193">
        <v>1</v>
      </c>
      <c r="R5" s="193">
        <v>2</v>
      </c>
      <c r="S5" s="205">
        <v>12000</v>
      </c>
      <c r="T5" s="312" t="s">
        <v>325</v>
      </c>
      <c r="U5" s="206" t="s">
        <v>326</v>
      </c>
      <c r="V5" s="205" t="s">
        <v>153</v>
      </c>
      <c r="W5" s="194" t="s">
        <v>327</v>
      </c>
      <c r="X5" s="207" t="s">
        <v>328</v>
      </c>
      <c r="Y5" s="208">
        <v>1</v>
      </c>
      <c r="Z5" s="208">
        <v>1</v>
      </c>
      <c r="AA5" s="208">
        <v>0</v>
      </c>
      <c r="AB5" s="209">
        <v>0</v>
      </c>
      <c r="AC5" s="208">
        <v>1</v>
      </c>
      <c r="AD5" s="208">
        <v>1</v>
      </c>
      <c r="AE5" s="208">
        <v>0</v>
      </c>
      <c r="AF5" s="209">
        <v>0</v>
      </c>
      <c r="AG5" s="208">
        <v>0</v>
      </c>
      <c r="AH5" s="208">
        <v>0</v>
      </c>
      <c r="AI5" s="208">
        <v>0</v>
      </c>
      <c r="AJ5" s="209">
        <v>0</v>
      </c>
      <c r="AK5" s="208">
        <v>0</v>
      </c>
      <c r="AL5" s="208">
        <v>0</v>
      </c>
      <c r="AM5" s="208">
        <v>0</v>
      </c>
      <c r="AN5" s="209">
        <v>0</v>
      </c>
      <c r="AP5" s="503" t="s">
        <v>177</v>
      </c>
      <c r="AQ5" s="504">
        <f>Russiaalltestshistdrawn</f>
        <v>3</v>
      </c>
      <c r="AS5" s="503" t="s">
        <v>177</v>
      </c>
      <c r="AT5" s="504">
        <f>RussiaRWChistdrawn</f>
        <v>0</v>
      </c>
    </row>
    <row r="6" spans="1:46" ht="17" thickBot="1" x14ac:dyDescent="0.35">
      <c r="A6" s="191">
        <v>43897</v>
      </c>
      <c r="B6" s="192" t="s">
        <v>112</v>
      </c>
      <c r="C6" s="192" t="s">
        <v>145</v>
      </c>
      <c r="D6" s="193" t="s">
        <v>331</v>
      </c>
      <c r="E6" s="193" t="s">
        <v>1</v>
      </c>
      <c r="F6" s="193">
        <v>32</v>
      </c>
      <c r="G6" s="193">
        <v>25</v>
      </c>
      <c r="H6" s="193">
        <v>1</v>
      </c>
      <c r="I6" s="193">
        <v>0</v>
      </c>
      <c r="J6" s="193">
        <v>4</v>
      </c>
      <c r="K6" s="193">
        <v>3</v>
      </c>
      <c r="L6" s="193">
        <v>0</v>
      </c>
      <c r="M6" s="193">
        <v>2</v>
      </c>
      <c r="N6" s="193">
        <v>0</v>
      </c>
      <c r="O6" s="193">
        <v>0</v>
      </c>
      <c r="P6" s="193">
        <v>0</v>
      </c>
      <c r="Q6" s="193">
        <v>1</v>
      </c>
      <c r="R6" s="193">
        <v>3</v>
      </c>
      <c r="S6" s="205">
        <v>3100</v>
      </c>
      <c r="T6" s="312" t="s">
        <v>212</v>
      </c>
      <c r="U6" s="206" t="s">
        <v>335</v>
      </c>
      <c r="V6" s="205" t="s">
        <v>153</v>
      </c>
      <c r="W6" s="194" t="s">
        <v>310</v>
      </c>
      <c r="X6" s="207" t="s">
        <v>336</v>
      </c>
      <c r="Y6" s="208">
        <v>1</v>
      </c>
      <c r="Z6" s="208">
        <v>1</v>
      </c>
      <c r="AA6" s="208">
        <v>0</v>
      </c>
      <c r="AB6" s="209">
        <v>0</v>
      </c>
      <c r="AC6" s="208">
        <v>1</v>
      </c>
      <c r="AD6" s="208">
        <v>1</v>
      </c>
      <c r="AE6" s="208">
        <v>0</v>
      </c>
      <c r="AF6" s="209">
        <v>0</v>
      </c>
      <c r="AG6" s="208">
        <v>0</v>
      </c>
      <c r="AH6" s="208">
        <v>0</v>
      </c>
      <c r="AI6" s="208">
        <v>0</v>
      </c>
      <c r="AJ6" s="209">
        <v>0</v>
      </c>
      <c r="AK6" s="208">
        <v>0</v>
      </c>
      <c r="AL6" s="208">
        <v>0</v>
      </c>
      <c r="AM6" s="208">
        <v>0</v>
      </c>
      <c r="AN6" s="209">
        <v>0</v>
      </c>
      <c r="AP6" s="503" t="s">
        <v>172</v>
      </c>
      <c r="AQ6" s="504">
        <f>Russiaalltestshistlost</f>
        <v>108</v>
      </c>
      <c r="AS6" s="503" t="s">
        <v>172</v>
      </c>
      <c r="AT6" s="504">
        <f>RussiaRWChistlost</f>
        <v>8</v>
      </c>
    </row>
    <row r="7" spans="1:46" ht="14.95" customHeight="1" thickBot="1" x14ac:dyDescent="0.3">
      <c r="A7" s="387"/>
      <c r="B7" s="388"/>
      <c r="C7" s="769" t="s">
        <v>111</v>
      </c>
      <c r="D7" s="770"/>
      <c r="E7" s="771"/>
      <c r="F7" s="386">
        <f t="shared" ref="F7:R7" si="0">SUM(F3:F6)</f>
        <v>75</v>
      </c>
      <c r="G7" s="386">
        <f t="shared" si="0"/>
        <v>112</v>
      </c>
      <c r="H7" s="386">
        <f t="shared" si="0"/>
        <v>1</v>
      </c>
      <c r="I7" s="386">
        <f t="shared" si="0"/>
        <v>0</v>
      </c>
      <c r="J7" s="386">
        <f t="shared" si="0"/>
        <v>9</v>
      </c>
      <c r="K7" s="386">
        <f t="shared" si="0"/>
        <v>6</v>
      </c>
      <c r="L7" s="386">
        <f t="shared" si="0"/>
        <v>0</v>
      </c>
      <c r="M7" s="386">
        <f t="shared" si="0"/>
        <v>6</v>
      </c>
      <c r="N7" s="386">
        <f t="shared" si="0"/>
        <v>0</v>
      </c>
      <c r="O7" s="386">
        <f t="shared" si="0"/>
        <v>0</v>
      </c>
      <c r="P7" s="386">
        <f t="shared" si="0"/>
        <v>2</v>
      </c>
      <c r="Q7" s="386">
        <f t="shared" si="0"/>
        <v>2</v>
      </c>
      <c r="R7" s="386">
        <f t="shared" si="0"/>
        <v>15</v>
      </c>
      <c r="W7" s="383"/>
      <c r="X7" s="612" t="s">
        <v>111</v>
      </c>
      <c r="Y7" s="386">
        <f t="shared" ref="Y7:AN7" si="1">SUM(Y3:Y6)</f>
        <v>4</v>
      </c>
      <c r="Z7" s="386">
        <f t="shared" si="1"/>
        <v>2</v>
      </c>
      <c r="AA7" s="386">
        <f t="shared" si="1"/>
        <v>0</v>
      </c>
      <c r="AB7" s="386">
        <f t="shared" si="1"/>
        <v>2</v>
      </c>
      <c r="AC7" s="384">
        <f t="shared" si="1"/>
        <v>3</v>
      </c>
      <c r="AD7" s="384">
        <f t="shared" si="1"/>
        <v>2</v>
      </c>
      <c r="AE7" s="384">
        <f t="shared" si="1"/>
        <v>0</v>
      </c>
      <c r="AF7" s="384">
        <f t="shared" si="1"/>
        <v>1</v>
      </c>
      <c r="AG7" s="385">
        <f t="shared" si="1"/>
        <v>1</v>
      </c>
      <c r="AH7" s="385">
        <f t="shared" si="1"/>
        <v>0</v>
      </c>
      <c r="AI7" s="385">
        <f t="shared" si="1"/>
        <v>0</v>
      </c>
      <c r="AJ7" s="385">
        <f t="shared" si="1"/>
        <v>1</v>
      </c>
      <c r="AK7" s="386">
        <f t="shared" si="1"/>
        <v>0</v>
      </c>
      <c r="AL7" s="386">
        <f t="shared" si="1"/>
        <v>0</v>
      </c>
      <c r="AM7" s="386">
        <f t="shared" si="1"/>
        <v>0</v>
      </c>
      <c r="AN7" s="386">
        <f t="shared" si="1"/>
        <v>0</v>
      </c>
      <c r="AP7" s="503" t="s">
        <v>178</v>
      </c>
      <c r="AQ7" s="504">
        <f>Russiaalltestshistptsscored</f>
        <v>5597</v>
      </c>
      <c r="AS7" s="503" t="s">
        <v>178</v>
      </c>
      <c r="AT7" s="504">
        <f>RussiaRWChistptsscored</f>
        <v>76</v>
      </c>
    </row>
    <row r="8" spans="1:46" ht="14.95" customHeight="1" thickBot="1" x14ac:dyDescent="0.3">
      <c r="A8" s="387"/>
      <c r="B8" s="388"/>
      <c r="C8" s="732" t="s">
        <v>108</v>
      </c>
      <c r="D8" s="733"/>
      <c r="E8" s="734"/>
      <c r="F8" s="552">
        <f t="shared" ref="F8:R8" si="2">SUM(F3:F6)</f>
        <v>75</v>
      </c>
      <c r="G8" s="552">
        <f t="shared" si="2"/>
        <v>112</v>
      </c>
      <c r="H8" s="552">
        <f t="shared" si="2"/>
        <v>1</v>
      </c>
      <c r="I8" s="552">
        <f t="shared" si="2"/>
        <v>0</v>
      </c>
      <c r="J8" s="552">
        <f t="shared" si="2"/>
        <v>9</v>
      </c>
      <c r="K8" s="552">
        <f t="shared" si="2"/>
        <v>6</v>
      </c>
      <c r="L8" s="552">
        <f t="shared" si="2"/>
        <v>0</v>
      </c>
      <c r="M8" s="552">
        <f t="shared" si="2"/>
        <v>6</v>
      </c>
      <c r="N8" s="552">
        <f t="shared" si="2"/>
        <v>0</v>
      </c>
      <c r="O8" s="552">
        <f t="shared" si="2"/>
        <v>0</v>
      </c>
      <c r="P8" s="552">
        <f t="shared" si="2"/>
        <v>2</v>
      </c>
      <c r="Q8" s="552">
        <f t="shared" si="2"/>
        <v>2</v>
      </c>
      <c r="R8" s="552">
        <f t="shared" si="2"/>
        <v>15</v>
      </c>
      <c r="S8" s="548"/>
      <c r="T8" s="548"/>
      <c r="U8" s="548"/>
      <c r="V8" s="548"/>
      <c r="W8" s="13"/>
      <c r="X8" s="596" t="s">
        <v>108</v>
      </c>
      <c r="Y8" s="552">
        <f t="shared" ref="Y8:AN8" si="3">SUM(Y3:Y6)</f>
        <v>4</v>
      </c>
      <c r="Z8" s="552">
        <f t="shared" si="3"/>
        <v>2</v>
      </c>
      <c r="AA8" s="552">
        <f t="shared" si="3"/>
        <v>0</v>
      </c>
      <c r="AB8" s="552">
        <f t="shared" si="3"/>
        <v>2</v>
      </c>
      <c r="AC8" s="550">
        <f t="shared" si="3"/>
        <v>3</v>
      </c>
      <c r="AD8" s="550">
        <f t="shared" si="3"/>
        <v>2</v>
      </c>
      <c r="AE8" s="550">
        <f t="shared" si="3"/>
        <v>0</v>
      </c>
      <c r="AF8" s="550">
        <f t="shared" si="3"/>
        <v>1</v>
      </c>
      <c r="AG8" s="551">
        <f t="shared" si="3"/>
        <v>1</v>
      </c>
      <c r="AH8" s="551">
        <f t="shared" si="3"/>
        <v>0</v>
      </c>
      <c r="AI8" s="551">
        <f t="shared" si="3"/>
        <v>0</v>
      </c>
      <c r="AJ8" s="551">
        <f t="shared" si="3"/>
        <v>1</v>
      </c>
      <c r="AK8" s="552">
        <f t="shared" si="3"/>
        <v>0</v>
      </c>
      <c r="AL8" s="552">
        <f t="shared" si="3"/>
        <v>0</v>
      </c>
      <c r="AM8" s="552">
        <f t="shared" si="3"/>
        <v>0</v>
      </c>
      <c r="AN8" s="552">
        <f t="shared" si="3"/>
        <v>0</v>
      </c>
      <c r="AP8" s="503" t="s">
        <v>179</v>
      </c>
      <c r="AQ8" s="504">
        <f>Russiaalltestshistptsagainst</f>
        <v>5349</v>
      </c>
      <c r="AS8" s="503" t="s">
        <v>179</v>
      </c>
      <c r="AT8" s="504">
        <f>RussiaRWChistptscon</f>
        <v>356</v>
      </c>
    </row>
    <row r="9" spans="1:46" ht="14.95" customHeight="1" thickBot="1" x14ac:dyDescent="0.3">
      <c r="A9" s="762" t="s">
        <v>58</v>
      </c>
      <c r="B9" s="725"/>
      <c r="C9" s="725"/>
      <c r="D9" s="725"/>
      <c r="E9" s="725"/>
      <c r="F9" s="725"/>
      <c r="G9" s="725"/>
      <c r="H9" s="725"/>
      <c r="I9" s="725"/>
      <c r="J9" s="725"/>
      <c r="K9" s="725"/>
      <c r="L9" s="725"/>
      <c r="M9" s="725"/>
      <c r="N9" s="725"/>
      <c r="O9" s="725"/>
      <c r="P9" s="725"/>
      <c r="Q9" s="725"/>
      <c r="R9" s="725"/>
      <c r="S9" s="725"/>
      <c r="T9" s="725"/>
      <c r="U9" s="725"/>
      <c r="V9" s="725"/>
      <c r="W9" s="725"/>
      <c r="X9" s="725"/>
      <c r="Y9" s="725"/>
      <c r="Z9" s="725"/>
      <c r="AA9" s="725"/>
      <c r="AB9" s="725"/>
      <c r="AC9" s="725"/>
      <c r="AD9" s="725"/>
      <c r="AE9" s="725"/>
      <c r="AF9" s="725"/>
      <c r="AG9" s="725"/>
      <c r="AH9" s="725"/>
      <c r="AI9" s="725"/>
      <c r="AJ9" s="725"/>
      <c r="AK9" s="725"/>
      <c r="AL9" s="725"/>
      <c r="AM9" s="725"/>
      <c r="AN9" s="725"/>
      <c r="AP9" s="503" t="s">
        <v>169</v>
      </c>
      <c r="AQ9" s="504">
        <f>Russiaalltestshisttriesscored</f>
        <v>574</v>
      </c>
      <c r="AS9" s="503" t="s">
        <v>169</v>
      </c>
      <c r="AT9" s="504">
        <f>RussiaRWChisttriesscored</f>
        <v>9</v>
      </c>
    </row>
    <row r="10" spans="1:46" x14ac:dyDescent="0.25">
      <c r="A10" t="s">
        <v>293</v>
      </c>
      <c r="F10" s="14"/>
      <c r="G10" s="14"/>
      <c r="H10" s="13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46" x14ac:dyDescent="0.25">
      <c r="A11" t="s">
        <v>334</v>
      </c>
      <c r="F11" s="14"/>
      <c r="G11" s="14"/>
      <c r="H11" s="13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46" x14ac:dyDescent="0.25">
      <c r="F12" s="14"/>
      <c r="G12" s="14"/>
      <c r="H12" s="13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46" x14ac:dyDescent="0.25">
      <c r="F13" s="14"/>
      <c r="G13" s="14"/>
      <c r="H13" s="13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46" ht="14.95" customHeight="1" x14ac:dyDescent="0.25">
      <c r="F14" s="14"/>
      <c r="G14" s="14"/>
      <c r="H14" s="13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46" x14ac:dyDescent="0.25">
      <c r="F15" s="14"/>
      <c r="G15" s="14"/>
      <c r="H15" s="13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46" x14ac:dyDescent="0.25">
      <c r="F16" s="14"/>
      <c r="G16" s="14"/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x14ac:dyDescent="0.25">
      <c r="A17" t="s">
        <v>58</v>
      </c>
      <c r="F17" s="14"/>
      <c r="G17" s="14"/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25">
      <c r="A18" s="156"/>
      <c r="B18" t="s">
        <v>44</v>
      </c>
    </row>
    <row r="19" spans="1:18" x14ac:dyDescent="0.25">
      <c r="A19" s="154"/>
      <c r="B19" t="s">
        <v>42</v>
      </c>
    </row>
    <row r="20" spans="1:18" x14ac:dyDescent="0.25">
      <c r="A20" s="155"/>
      <c r="B20" t="s">
        <v>43</v>
      </c>
    </row>
    <row r="21" spans="1:18" x14ac:dyDescent="0.25">
      <c r="A21" s="15" t="s">
        <v>28</v>
      </c>
    </row>
  </sheetData>
  <mergeCells count="13">
    <mergeCell ref="A9:AN9"/>
    <mergeCell ref="C7:E7"/>
    <mergeCell ref="C8:E8"/>
    <mergeCell ref="AK1:AN1"/>
    <mergeCell ref="P1:R1"/>
    <mergeCell ref="A1:C1"/>
    <mergeCell ref="E1:G1"/>
    <mergeCell ref="H1:I1"/>
    <mergeCell ref="J1:M1"/>
    <mergeCell ref="N1:O1"/>
    <mergeCell ref="Y1:AB1"/>
    <mergeCell ref="AC1:AF1"/>
    <mergeCell ref="AG1:AJ1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T21"/>
  <sheetViews>
    <sheetView zoomScaleNormal="100" workbookViewId="0">
      <selection activeCell="S24" sqref="S24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customWidth="1"/>
    <col min="5" max="18" width="3.625" customWidth="1"/>
    <col min="19" max="20" width="6.375" customWidth="1"/>
    <col min="21" max="21" width="30.5" customWidth="1"/>
    <col min="22" max="22" width="22.5" bestFit="1" customWidth="1"/>
    <col min="23" max="23" width="23.625" bestFit="1" customWidth="1"/>
    <col min="24" max="24" width="24" bestFit="1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916" t="s">
        <v>377</v>
      </c>
      <c r="B1" s="917"/>
      <c r="C1" s="917"/>
      <c r="D1" s="267"/>
      <c r="E1" s="918" t="s">
        <v>24</v>
      </c>
      <c r="F1" s="919"/>
      <c r="G1" s="920"/>
      <c r="H1" s="918" t="s">
        <v>23</v>
      </c>
      <c r="I1" s="920"/>
      <c r="J1" s="913" t="s">
        <v>6</v>
      </c>
      <c r="K1" s="914"/>
      <c r="L1" s="914"/>
      <c r="M1" s="915"/>
      <c r="N1" s="913" t="s">
        <v>7</v>
      </c>
      <c r="O1" s="915"/>
      <c r="P1" s="913" t="s">
        <v>25</v>
      </c>
      <c r="Q1" s="914"/>
      <c r="R1" s="915"/>
      <c r="S1" s="268" t="s">
        <v>8</v>
      </c>
      <c r="T1" s="268" t="s">
        <v>9</v>
      </c>
      <c r="U1" s="269" t="s">
        <v>10</v>
      </c>
      <c r="V1" s="268" t="s">
        <v>11</v>
      </c>
      <c r="W1" s="270" t="s">
        <v>26</v>
      </c>
      <c r="X1" s="271" t="s">
        <v>27</v>
      </c>
      <c r="Y1" s="912" t="s">
        <v>20</v>
      </c>
      <c r="Z1" s="747"/>
      <c r="AA1" s="747"/>
      <c r="AB1" s="748"/>
      <c r="AC1" s="912" t="s">
        <v>61</v>
      </c>
      <c r="AD1" s="747"/>
      <c r="AE1" s="747"/>
      <c r="AF1" s="748"/>
      <c r="AG1" s="912" t="s">
        <v>62</v>
      </c>
      <c r="AH1" s="747"/>
      <c r="AI1" s="747"/>
      <c r="AJ1" s="748"/>
      <c r="AK1" s="912" t="s">
        <v>63</v>
      </c>
      <c r="AL1" s="747"/>
      <c r="AM1" s="747"/>
      <c r="AN1" s="748"/>
      <c r="AP1" s="537" t="s">
        <v>194</v>
      </c>
      <c r="AQ1" s="520"/>
      <c r="AR1" s="520"/>
      <c r="AS1" s="537" t="s">
        <v>194</v>
      </c>
    </row>
    <row r="2" spans="1:46" ht="14.95" customHeight="1" thickBot="1" x14ac:dyDescent="0.3">
      <c r="A2" s="272" t="s">
        <v>19</v>
      </c>
      <c r="B2" s="273" t="s">
        <v>18</v>
      </c>
      <c r="C2" s="274" t="s">
        <v>17</v>
      </c>
      <c r="D2" s="275" t="s">
        <v>41</v>
      </c>
      <c r="E2" s="275" t="s">
        <v>16</v>
      </c>
      <c r="F2" s="275" t="s">
        <v>4</v>
      </c>
      <c r="G2" s="275" t="s">
        <v>5</v>
      </c>
      <c r="H2" s="276" t="s">
        <v>12</v>
      </c>
      <c r="I2" s="276" t="s">
        <v>3</v>
      </c>
      <c r="J2" s="276" t="s">
        <v>12</v>
      </c>
      <c r="K2" s="276" t="s">
        <v>13</v>
      </c>
      <c r="L2" s="276" t="s">
        <v>2</v>
      </c>
      <c r="M2" s="276" t="s">
        <v>14</v>
      </c>
      <c r="N2" s="276" t="s">
        <v>15</v>
      </c>
      <c r="O2" s="276" t="s">
        <v>16</v>
      </c>
      <c r="P2" s="276" t="s">
        <v>21</v>
      </c>
      <c r="Q2" s="276" t="s">
        <v>22</v>
      </c>
      <c r="R2" s="276" t="s">
        <v>12</v>
      </c>
      <c r="S2" s="277"/>
      <c r="T2" s="278"/>
      <c r="U2" s="279"/>
      <c r="V2" s="277"/>
      <c r="W2" s="280"/>
      <c r="X2" s="281"/>
      <c r="Y2" s="555" t="s">
        <v>0</v>
      </c>
      <c r="Z2" s="555" t="s">
        <v>1</v>
      </c>
      <c r="AA2" s="555" t="s">
        <v>2</v>
      </c>
      <c r="AB2" s="555" t="s">
        <v>3</v>
      </c>
      <c r="AC2" s="555" t="s">
        <v>0</v>
      </c>
      <c r="AD2" s="555" t="s">
        <v>1</v>
      </c>
      <c r="AE2" s="555" t="s">
        <v>2</v>
      </c>
      <c r="AF2" s="555" t="s">
        <v>3</v>
      </c>
      <c r="AG2" s="555" t="s">
        <v>0</v>
      </c>
      <c r="AH2" s="555" t="s">
        <v>1</v>
      </c>
      <c r="AI2" s="555" t="s">
        <v>2</v>
      </c>
      <c r="AJ2" s="555" t="s">
        <v>3</v>
      </c>
      <c r="AK2" s="555" t="s">
        <v>0</v>
      </c>
      <c r="AL2" s="555" t="s">
        <v>1</v>
      </c>
      <c r="AM2" s="555" t="s">
        <v>2</v>
      </c>
      <c r="AN2" s="555" t="s">
        <v>3</v>
      </c>
      <c r="AP2" s="481" t="s">
        <v>108</v>
      </c>
      <c r="AQ2" s="249"/>
      <c r="AS2" s="482" t="s">
        <v>167</v>
      </c>
      <c r="AT2" s="249"/>
    </row>
    <row r="3" spans="1:46" ht="14.95" customHeight="1" thickBot="1" x14ac:dyDescent="0.3">
      <c r="A3" s="191"/>
      <c r="B3" s="192"/>
      <c r="C3" s="192"/>
      <c r="D3" s="192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205"/>
      <c r="T3" s="419"/>
      <c r="U3" s="206"/>
      <c r="V3" s="205"/>
      <c r="W3" s="205"/>
      <c r="X3" s="194"/>
      <c r="Y3" s="208"/>
      <c r="Z3" s="208"/>
      <c r="AA3" s="208"/>
      <c r="AB3" s="209"/>
      <c r="AC3" s="208"/>
      <c r="AD3" s="208"/>
      <c r="AE3" s="208"/>
      <c r="AF3" s="209"/>
      <c r="AG3" s="208"/>
      <c r="AH3" s="208"/>
      <c r="AI3" s="208"/>
      <c r="AJ3" s="209"/>
      <c r="AK3" s="208"/>
      <c r="AL3" s="208"/>
      <c r="AM3" s="208"/>
      <c r="AN3" s="209"/>
      <c r="AP3" s="501" t="s">
        <v>170</v>
      </c>
      <c r="AQ3" s="502">
        <f>Samalltestshistplayed</f>
        <v>243</v>
      </c>
      <c r="AS3" s="501" t="s">
        <v>170</v>
      </c>
      <c r="AT3" s="502">
        <f>SamRWChistplayed</f>
        <v>32</v>
      </c>
    </row>
    <row r="4" spans="1:46" ht="14.95" customHeight="1" thickBot="1" x14ac:dyDescent="0.3">
      <c r="A4" s="184"/>
      <c r="B4" s="431"/>
      <c r="C4" s="185"/>
      <c r="D4" s="185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99"/>
      <c r="T4" s="356"/>
      <c r="U4" s="200"/>
      <c r="V4" s="199"/>
      <c r="W4" s="187"/>
      <c r="X4" s="201"/>
      <c r="Y4" s="202"/>
      <c r="Z4" s="202"/>
      <c r="AA4" s="202"/>
      <c r="AB4" s="203"/>
      <c r="AC4" s="202"/>
      <c r="AD4" s="202"/>
      <c r="AE4" s="202"/>
      <c r="AF4" s="203"/>
      <c r="AG4" s="202"/>
      <c r="AH4" s="202"/>
      <c r="AI4" s="202"/>
      <c r="AJ4" s="203"/>
      <c r="AK4" s="202"/>
      <c r="AL4" s="202"/>
      <c r="AM4" s="202"/>
      <c r="AN4" s="203"/>
      <c r="AP4" s="503" t="s">
        <v>171</v>
      </c>
      <c r="AQ4" s="504">
        <f>Samalltestshistwon</f>
        <v>104</v>
      </c>
      <c r="AS4" s="503" t="s">
        <v>171</v>
      </c>
      <c r="AT4" s="504">
        <f>SamRWChistwon</f>
        <v>13</v>
      </c>
    </row>
    <row r="5" spans="1:46" ht="14.95" customHeight="1" thickBot="1" x14ac:dyDescent="0.35">
      <c r="A5" s="183"/>
      <c r="B5" s="204"/>
      <c r="C5" s="174"/>
      <c r="D5" s="174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6"/>
      <c r="T5" s="409"/>
      <c r="U5" s="177"/>
      <c r="V5" s="176"/>
      <c r="W5" s="178"/>
      <c r="X5" s="179"/>
      <c r="Y5" s="180"/>
      <c r="Z5" s="180"/>
      <c r="AA5" s="180"/>
      <c r="AB5" s="181"/>
      <c r="AC5" s="180"/>
      <c r="AD5" s="180"/>
      <c r="AE5" s="180"/>
      <c r="AF5" s="181"/>
      <c r="AG5" s="180"/>
      <c r="AH5" s="180"/>
      <c r="AI5" s="180"/>
      <c r="AJ5" s="181"/>
      <c r="AK5" s="180"/>
      <c r="AL5" s="180"/>
      <c r="AM5" s="180"/>
      <c r="AN5" s="181"/>
      <c r="AP5" s="503" t="s">
        <v>177</v>
      </c>
      <c r="AQ5" s="504">
        <f>Samalltestshistdrawn</f>
        <v>9</v>
      </c>
      <c r="AS5" s="503" t="s">
        <v>177</v>
      </c>
      <c r="AT5" s="504">
        <f>SamRWChistdrawn</f>
        <v>0</v>
      </c>
    </row>
    <row r="6" spans="1:46" ht="14.95" customHeight="1" thickBot="1" x14ac:dyDescent="0.3">
      <c r="A6" s="183"/>
      <c r="B6" s="204"/>
      <c r="C6" s="174"/>
      <c r="D6" s="174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6"/>
      <c r="T6" s="219"/>
      <c r="U6" s="177"/>
      <c r="V6" s="176"/>
      <c r="W6" s="178"/>
      <c r="X6" s="179"/>
      <c r="Y6" s="180"/>
      <c r="Z6" s="180"/>
      <c r="AA6" s="180"/>
      <c r="AB6" s="181"/>
      <c r="AC6" s="180"/>
      <c r="AD6" s="180"/>
      <c r="AE6" s="180"/>
      <c r="AF6" s="181"/>
      <c r="AG6" s="180"/>
      <c r="AH6" s="180"/>
      <c r="AI6" s="180"/>
      <c r="AJ6" s="181"/>
      <c r="AK6" s="180"/>
      <c r="AL6" s="180"/>
      <c r="AM6" s="180"/>
      <c r="AN6" s="181"/>
      <c r="AP6" s="503" t="s">
        <v>172</v>
      </c>
      <c r="AQ6" s="504">
        <f>Samalltestshistlost</f>
        <v>130</v>
      </c>
      <c r="AS6" s="503" t="s">
        <v>172</v>
      </c>
      <c r="AT6" s="504">
        <f>SamRWChistlost</f>
        <v>19</v>
      </c>
    </row>
    <row r="7" spans="1:46" ht="14.95" customHeight="1" thickBot="1" x14ac:dyDescent="0.3">
      <c r="A7" s="473"/>
      <c r="B7" s="440"/>
      <c r="C7" s="440"/>
      <c r="D7" s="440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99"/>
      <c r="T7" s="356"/>
      <c r="U7" s="200"/>
      <c r="V7" s="199"/>
      <c r="W7" s="187"/>
      <c r="X7" s="201"/>
      <c r="Y7" s="202"/>
      <c r="Z7" s="202"/>
      <c r="AA7" s="202"/>
      <c r="AB7" s="203"/>
      <c r="AC7" s="202"/>
      <c r="AD7" s="202"/>
      <c r="AE7" s="202"/>
      <c r="AF7" s="203"/>
      <c r="AG7" s="202"/>
      <c r="AH7" s="202"/>
      <c r="AI7" s="202"/>
      <c r="AJ7" s="203"/>
      <c r="AK7" s="202"/>
      <c r="AL7" s="202"/>
      <c r="AM7" s="202"/>
      <c r="AN7" s="203"/>
      <c r="AP7" s="503" t="s">
        <v>178</v>
      </c>
      <c r="AQ7" s="504">
        <f>Samalltestshistptsscored</f>
        <v>4909</v>
      </c>
      <c r="AS7" s="503" t="s">
        <v>178</v>
      </c>
      <c r="AT7" s="504">
        <f>SamRWChistptsscored</f>
        <v>712</v>
      </c>
    </row>
    <row r="8" spans="1:46" ht="14.95" customHeight="1" thickBot="1" x14ac:dyDescent="0.3">
      <c r="A8" s="184"/>
      <c r="B8" s="421"/>
      <c r="C8" s="185"/>
      <c r="D8" s="185"/>
      <c r="E8" s="186"/>
      <c r="F8" s="186"/>
      <c r="G8" s="422"/>
      <c r="H8" s="422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99"/>
      <c r="T8" s="356"/>
      <c r="U8" s="200"/>
      <c r="V8" s="199"/>
      <c r="W8" s="187"/>
      <c r="X8" s="201"/>
      <c r="Y8" s="202"/>
      <c r="Z8" s="202"/>
      <c r="AA8" s="202"/>
      <c r="AB8" s="203"/>
      <c r="AC8" s="202"/>
      <c r="AD8" s="202"/>
      <c r="AE8" s="202"/>
      <c r="AF8" s="203"/>
      <c r="AG8" s="202"/>
      <c r="AH8" s="202"/>
      <c r="AI8" s="202"/>
      <c r="AJ8" s="203"/>
      <c r="AK8" s="202"/>
      <c r="AL8" s="202"/>
      <c r="AM8" s="202"/>
      <c r="AN8" s="203"/>
      <c r="AP8" s="503" t="s">
        <v>179</v>
      </c>
      <c r="AQ8" s="504">
        <f>Samalltestshistptscon</f>
        <v>5447</v>
      </c>
      <c r="AS8" s="503" t="s">
        <v>179</v>
      </c>
      <c r="AT8" s="504">
        <f>SamRWChistptscon</f>
        <v>860</v>
      </c>
    </row>
    <row r="9" spans="1:46" ht="14.95" customHeight="1" thickBot="1" x14ac:dyDescent="0.3">
      <c r="A9" s="183"/>
      <c r="B9" s="188"/>
      <c r="C9" s="174"/>
      <c r="D9" s="174"/>
      <c r="E9" s="175"/>
      <c r="F9" s="175"/>
      <c r="G9" s="189"/>
      <c r="H9" s="189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6"/>
      <c r="T9" s="219"/>
      <c r="U9" s="177"/>
      <c r="V9" s="176"/>
      <c r="W9" s="178"/>
      <c r="X9" s="179"/>
      <c r="Y9" s="180"/>
      <c r="Z9" s="180"/>
      <c r="AA9" s="180"/>
      <c r="AB9" s="181"/>
      <c r="AC9" s="180"/>
      <c r="AD9" s="180"/>
      <c r="AE9" s="180"/>
      <c r="AF9" s="181"/>
      <c r="AG9" s="180"/>
      <c r="AH9" s="180"/>
      <c r="AI9" s="180"/>
      <c r="AJ9" s="181"/>
      <c r="AK9" s="180"/>
      <c r="AL9" s="180"/>
      <c r="AM9" s="180"/>
      <c r="AN9" s="181"/>
      <c r="AP9" s="503" t="s">
        <v>169</v>
      </c>
      <c r="AQ9" s="504">
        <f>SamalltestshistTRIESSCORED</f>
        <v>522</v>
      </c>
      <c r="AS9" s="503" t="s">
        <v>169</v>
      </c>
      <c r="AT9" s="504">
        <f>SamRWChisttriesscored</f>
        <v>83</v>
      </c>
    </row>
    <row r="10" spans="1:46" ht="14.95" customHeight="1" thickBot="1" x14ac:dyDescent="0.3">
      <c r="A10" s="184"/>
      <c r="B10" s="421"/>
      <c r="C10" s="185"/>
      <c r="D10" s="185"/>
      <c r="E10" s="186"/>
      <c r="F10" s="186"/>
      <c r="G10" s="422"/>
      <c r="H10" s="422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7"/>
      <c r="T10" s="562"/>
      <c r="U10" s="187"/>
      <c r="V10" s="187"/>
      <c r="W10" s="187"/>
      <c r="X10" s="201"/>
      <c r="Y10" s="202"/>
      <c r="Z10" s="202"/>
      <c r="AA10" s="202"/>
      <c r="AB10" s="203"/>
      <c r="AC10" s="202"/>
      <c r="AD10" s="202"/>
      <c r="AE10" s="202"/>
      <c r="AF10" s="203"/>
      <c r="AG10" s="202"/>
      <c r="AH10" s="202"/>
      <c r="AI10" s="202"/>
      <c r="AJ10" s="203"/>
      <c r="AK10" s="202"/>
      <c r="AL10" s="202"/>
      <c r="AM10" s="202"/>
      <c r="AN10" s="203"/>
    </row>
    <row r="11" spans="1:46" ht="15.8" customHeight="1" thickBot="1" x14ac:dyDescent="0.3">
      <c r="A11" s="387"/>
      <c r="B11" s="388"/>
      <c r="C11" s="772" t="s">
        <v>184</v>
      </c>
      <c r="D11" s="773"/>
      <c r="E11" s="774"/>
      <c r="F11" s="536">
        <f t="shared" ref="F11:R11" si="0">SUM(F3:F5)</f>
        <v>0</v>
      </c>
      <c r="G11" s="536">
        <f t="shared" si="0"/>
        <v>0</v>
      </c>
      <c r="H11" s="536">
        <f t="shared" si="0"/>
        <v>0</v>
      </c>
      <c r="I11" s="536">
        <f t="shared" si="0"/>
        <v>0</v>
      </c>
      <c r="J11" s="536">
        <f t="shared" si="0"/>
        <v>0</v>
      </c>
      <c r="K11" s="536">
        <f t="shared" si="0"/>
        <v>0</v>
      </c>
      <c r="L11" s="536">
        <f t="shared" si="0"/>
        <v>0</v>
      </c>
      <c r="M11" s="536">
        <f t="shared" si="0"/>
        <v>0</v>
      </c>
      <c r="N11" s="536">
        <f t="shared" si="0"/>
        <v>0</v>
      </c>
      <c r="O11" s="536">
        <f t="shared" si="0"/>
        <v>0</v>
      </c>
      <c r="P11" s="536">
        <f t="shared" si="0"/>
        <v>0</v>
      </c>
      <c r="Q11" s="536">
        <f t="shared" si="0"/>
        <v>0</v>
      </c>
      <c r="R11" s="536">
        <f t="shared" si="0"/>
        <v>0</v>
      </c>
      <c r="S11" s="390"/>
      <c r="T11" s="390"/>
      <c r="U11" s="390"/>
      <c r="V11" s="390"/>
      <c r="W11" s="391"/>
      <c r="X11" s="611" t="s">
        <v>184</v>
      </c>
      <c r="Y11" s="536">
        <f t="shared" ref="Y11:AN11" si="1">SUM(Y3:Y5)</f>
        <v>0</v>
      </c>
      <c r="Z11" s="536">
        <f t="shared" si="1"/>
        <v>0</v>
      </c>
      <c r="AA11" s="536">
        <f t="shared" si="1"/>
        <v>0</v>
      </c>
      <c r="AB11" s="536">
        <f t="shared" si="1"/>
        <v>0</v>
      </c>
      <c r="AC11" s="534">
        <f t="shared" si="1"/>
        <v>0</v>
      </c>
      <c r="AD11" s="534">
        <f t="shared" si="1"/>
        <v>0</v>
      </c>
      <c r="AE11" s="534">
        <f t="shared" si="1"/>
        <v>0</v>
      </c>
      <c r="AF11" s="534">
        <f t="shared" si="1"/>
        <v>0</v>
      </c>
      <c r="AG11" s="535">
        <f t="shared" si="1"/>
        <v>0</v>
      </c>
      <c r="AH11" s="535">
        <f t="shared" si="1"/>
        <v>0</v>
      </c>
      <c r="AI11" s="535">
        <f t="shared" si="1"/>
        <v>0</v>
      </c>
      <c r="AJ11" s="535">
        <f t="shared" si="1"/>
        <v>0</v>
      </c>
      <c r="AK11" s="536">
        <f t="shared" si="1"/>
        <v>0</v>
      </c>
      <c r="AL11" s="536">
        <f t="shared" si="1"/>
        <v>0</v>
      </c>
      <c r="AM11" s="536">
        <f t="shared" si="1"/>
        <v>0</v>
      </c>
      <c r="AN11" s="536">
        <f t="shared" si="1"/>
        <v>0</v>
      </c>
    </row>
    <row r="12" spans="1:46" ht="14.95" thickBot="1" x14ac:dyDescent="0.3">
      <c r="A12" s="387"/>
      <c r="B12" s="388"/>
      <c r="C12" s="732" t="s">
        <v>108</v>
      </c>
      <c r="D12" s="733"/>
      <c r="E12" s="734"/>
      <c r="F12" s="552">
        <f t="shared" ref="F12:R12" si="2">SUM(F3:F10)</f>
        <v>0</v>
      </c>
      <c r="G12" s="552">
        <f t="shared" si="2"/>
        <v>0</v>
      </c>
      <c r="H12" s="552">
        <f t="shared" si="2"/>
        <v>0</v>
      </c>
      <c r="I12" s="552">
        <f t="shared" si="2"/>
        <v>0</v>
      </c>
      <c r="J12" s="552">
        <f t="shared" si="2"/>
        <v>0</v>
      </c>
      <c r="K12" s="552">
        <f t="shared" si="2"/>
        <v>0</v>
      </c>
      <c r="L12" s="552">
        <f t="shared" si="2"/>
        <v>0</v>
      </c>
      <c r="M12" s="552">
        <f t="shared" si="2"/>
        <v>0</v>
      </c>
      <c r="N12" s="552">
        <f t="shared" si="2"/>
        <v>0</v>
      </c>
      <c r="O12" s="552">
        <f t="shared" si="2"/>
        <v>0</v>
      </c>
      <c r="P12" s="552">
        <f t="shared" si="2"/>
        <v>0</v>
      </c>
      <c r="Q12" s="552">
        <f t="shared" si="2"/>
        <v>0</v>
      </c>
      <c r="R12" s="552">
        <f t="shared" si="2"/>
        <v>0</v>
      </c>
      <c r="S12" s="548"/>
      <c r="T12" s="548"/>
      <c r="U12" s="548"/>
      <c r="V12" s="548"/>
      <c r="W12" s="13"/>
      <c r="X12" s="596" t="s">
        <v>108</v>
      </c>
      <c r="Y12" s="552">
        <f t="shared" ref="Y12:AN12" si="3">SUM(Y3:Y10)</f>
        <v>0</v>
      </c>
      <c r="Z12" s="552">
        <f t="shared" si="3"/>
        <v>0</v>
      </c>
      <c r="AA12" s="552">
        <f t="shared" si="3"/>
        <v>0</v>
      </c>
      <c r="AB12" s="552">
        <f t="shared" si="3"/>
        <v>0</v>
      </c>
      <c r="AC12" s="550">
        <f t="shared" si="3"/>
        <v>0</v>
      </c>
      <c r="AD12" s="550">
        <f t="shared" si="3"/>
        <v>0</v>
      </c>
      <c r="AE12" s="550">
        <f t="shared" si="3"/>
        <v>0</v>
      </c>
      <c r="AF12" s="550">
        <f t="shared" si="3"/>
        <v>0</v>
      </c>
      <c r="AG12" s="551">
        <f t="shared" si="3"/>
        <v>0</v>
      </c>
      <c r="AH12" s="551">
        <f t="shared" si="3"/>
        <v>0</v>
      </c>
      <c r="AI12" s="551">
        <f t="shared" si="3"/>
        <v>0</v>
      </c>
      <c r="AJ12" s="551">
        <f t="shared" si="3"/>
        <v>0</v>
      </c>
      <c r="AK12" s="552">
        <f t="shared" si="3"/>
        <v>0</v>
      </c>
      <c r="AL12" s="552">
        <f t="shared" si="3"/>
        <v>0</v>
      </c>
      <c r="AM12" s="552">
        <f t="shared" si="3"/>
        <v>0</v>
      </c>
      <c r="AN12" s="552">
        <f t="shared" si="3"/>
        <v>0</v>
      </c>
    </row>
    <row r="13" spans="1:46" x14ac:dyDescent="0.25">
      <c r="A13" s="871" t="s">
        <v>501</v>
      </c>
      <c r="B13" s="872"/>
      <c r="C13" s="872"/>
      <c r="D13" s="872"/>
      <c r="E13" s="872"/>
      <c r="F13" s="872"/>
      <c r="G13" s="872"/>
      <c r="H13" s="872"/>
      <c r="I13" s="872"/>
      <c r="J13" s="872"/>
      <c r="K13" s="872"/>
      <c r="L13" s="872"/>
      <c r="M13" s="872"/>
      <c r="N13" s="872"/>
      <c r="O13" s="872"/>
      <c r="P13" s="872"/>
      <c r="Q13" s="872"/>
      <c r="R13" s="872"/>
      <c r="S13" s="872"/>
      <c r="T13" s="872"/>
      <c r="U13" s="872"/>
      <c r="V13" s="872"/>
      <c r="W13" s="872"/>
      <c r="X13" s="872"/>
      <c r="Y13" s="872"/>
      <c r="Z13" s="872"/>
      <c r="AA13" s="872"/>
      <c r="AB13" s="872"/>
      <c r="AC13" s="872"/>
      <c r="AD13" s="872"/>
      <c r="AE13" s="872"/>
      <c r="AF13" s="872"/>
      <c r="AG13" s="872"/>
      <c r="AH13" s="872"/>
      <c r="AI13" s="872"/>
      <c r="AJ13" s="872"/>
      <c r="AK13" s="872"/>
      <c r="AL13" s="872"/>
      <c r="AM13" s="872"/>
      <c r="AN13" s="872"/>
    </row>
    <row r="14" spans="1:46" x14ac:dyDescent="0.25">
      <c r="A14" s="544"/>
      <c r="F14" s="14"/>
      <c r="G14" s="14"/>
      <c r="H14" s="13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46" x14ac:dyDescent="0.25">
      <c r="A15" s="529"/>
      <c r="F15" s="14"/>
      <c r="G15" s="14"/>
      <c r="H15" s="13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46" x14ac:dyDescent="0.25">
      <c r="A16" s="529"/>
      <c r="F16" s="14"/>
      <c r="G16" s="14"/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x14ac:dyDescent="0.25">
      <c r="A17" s="529"/>
      <c r="F17" s="14"/>
      <c r="G17" s="14"/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25">
      <c r="A18" s="156"/>
      <c r="B18" t="s">
        <v>44</v>
      </c>
    </row>
    <row r="19" spans="1:18" x14ac:dyDescent="0.25">
      <c r="A19" s="154"/>
      <c r="B19" t="s">
        <v>42</v>
      </c>
    </row>
    <row r="20" spans="1:18" x14ac:dyDescent="0.25">
      <c r="A20" s="155"/>
      <c r="B20" t="s">
        <v>43</v>
      </c>
    </row>
    <row r="21" spans="1:18" x14ac:dyDescent="0.25">
      <c r="A21" s="15" t="s">
        <v>28</v>
      </c>
    </row>
  </sheetData>
  <mergeCells count="13">
    <mergeCell ref="AK1:AN1"/>
    <mergeCell ref="A13:AN13"/>
    <mergeCell ref="C11:E11"/>
    <mergeCell ref="C12:E12"/>
    <mergeCell ref="P1:R1"/>
    <mergeCell ref="A1:C1"/>
    <mergeCell ref="E1:G1"/>
    <mergeCell ref="H1:I1"/>
    <mergeCell ref="J1:M1"/>
    <mergeCell ref="N1:O1"/>
    <mergeCell ref="Y1:AB1"/>
    <mergeCell ref="AC1:AF1"/>
    <mergeCell ref="AG1:AJ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T25"/>
  <sheetViews>
    <sheetView workbookViewId="0">
      <selection activeCell="Q31" sqref="Q31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625" customWidth="1"/>
    <col min="19" max="20" width="6.375" customWidth="1"/>
    <col min="21" max="21" width="19.125" customWidth="1"/>
    <col min="22" max="23" width="21.5" bestFit="1" customWidth="1"/>
    <col min="24" max="24" width="21.625" bestFit="1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927" t="s">
        <v>228</v>
      </c>
      <c r="B1" s="928"/>
      <c r="C1" s="928"/>
      <c r="D1" s="159"/>
      <c r="E1" s="925" t="s">
        <v>24</v>
      </c>
      <c r="F1" s="929"/>
      <c r="G1" s="926"/>
      <c r="H1" s="925" t="s">
        <v>23</v>
      </c>
      <c r="I1" s="926"/>
      <c r="J1" s="922" t="s">
        <v>6</v>
      </c>
      <c r="K1" s="923"/>
      <c r="L1" s="923"/>
      <c r="M1" s="924"/>
      <c r="N1" s="922" t="s">
        <v>7</v>
      </c>
      <c r="O1" s="924"/>
      <c r="P1" s="922" t="s">
        <v>25</v>
      </c>
      <c r="Q1" s="923"/>
      <c r="R1" s="924"/>
      <c r="S1" s="573" t="s">
        <v>8</v>
      </c>
      <c r="T1" s="573" t="s">
        <v>9</v>
      </c>
      <c r="U1" s="116" t="s">
        <v>10</v>
      </c>
      <c r="V1" s="115" t="s">
        <v>11</v>
      </c>
      <c r="W1" s="117" t="s">
        <v>26</v>
      </c>
      <c r="X1" s="118" t="s">
        <v>27</v>
      </c>
      <c r="Y1" s="921" t="s">
        <v>20</v>
      </c>
      <c r="Z1" s="747"/>
      <c r="AA1" s="747"/>
      <c r="AB1" s="748"/>
      <c r="AC1" s="921" t="s">
        <v>61</v>
      </c>
      <c r="AD1" s="747"/>
      <c r="AE1" s="747"/>
      <c r="AF1" s="748"/>
      <c r="AG1" s="921" t="s">
        <v>62</v>
      </c>
      <c r="AH1" s="747"/>
      <c r="AI1" s="747"/>
      <c r="AJ1" s="748"/>
      <c r="AK1" s="921" t="s">
        <v>63</v>
      </c>
      <c r="AL1" s="747"/>
      <c r="AM1" s="747"/>
      <c r="AN1" s="748"/>
      <c r="AP1" s="538" t="s">
        <v>199</v>
      </c>
      <c r="AQ1" s="520"/>
      <c r="AR1" s="520"/>
      <c r="AS1" s="538" t="s">
        <v>199</v>
      </c>
    </row>
    <row r="2" spans="1:46" ht="14.95" customHeight="1" thickBot="1" x14ac:dyDescent="0.3">
      <c r="A2" s="119" t="s">
        <v>19</v>
      </c>
      <c r="B2" s="120" t="s">
        <v>18</v>
      </c>
      <c r="C2" s="121" t="s">
        <v>17</v>
      </c>
      <c r="D2" s="122" t="s">
        <v>41</v>
      </c>
      <c r="E2" s="122" t="s">
        <v>16</v>
      </c>
      <c r="F2" s="122" t="s">
        <v>4</v>
      </c>
      <c r="G2" s="122" t="s">
        <v>5</v>
      </c>
      <c r="H2" s="123" t="s">
        <v>12</v>
      </c>
      <c r="I2" s="123" t="s">
        <v>3</v>
      </c>
      <c r="J2" s="123" t="s">
        <v>12</v>
      </c>
      <c r="K2" s="123" t="s">
        <v>13</v>
      </c>
      <c r="L2" s="123" t="s">
        <v>2</v>
      </c>
      <c r="M2" s="123" t="s">
        <v>14</v>
      </c>
      <c r="N2" s="123" t="s">
        <v>15</v>
      </c>
      <c r="O2" s="123" t="s">
        <v>16</v>
      </c>
      <c r="P2" s="123" t="s">
        <v>21</v>
      </c>
      <c r="Q2" s="123" t="s">
        <v>22</v>
      </c>
      <c r="R2" s="123" t="s">
        <v>12</v>
      </c>
      <c r="S2" s="124"/>
      <c r="T2" s="125"/>
      <c r="U2" s="126"/>
      <c r="V2" s="124"/>
      <c r="W2" s="127"/>
      <c r="X2" s="128"/>
      <c r="Y2" s="446" t="s">
        <v>0</v>
      </c>
      <c r="Z2" s="446" t="s">
        <v>1</v>
      </c>
      <c r="AA2" s="446" t="s">
        <v>2</v>
      </c>
      <c r="AB2" s="446" t="s">
        <v>3</v>
      </c>
      <c r="AC2" s="446" t="s">
        <v>0</v>
      </c>
      <c r="AD2" s="446" t="s">
        <v>1</v>
      </c>
      <c r="AE2" s="446" t="s">
        <v>2</v>
      </c>
      <c r="AF2" s="446" t="s">
        <v>3</v>
      </c>
      <c r="AG2" s="446" t="s">
        <v>0</v>
      </c>
      <c r="AH2" s="446" t="s">
        <v>1</v>
      </c>
      <c r="AI2" s="446" t="s">
        <v>2</v>
      </c>
      <c r="AJ2" s="446" t="s">
        <v>3</v>
      </c>
      <c r="AK2" s="446" t="s">
        <v>0</v>
      </c>
      <c r="AL2" s="446" t="s">
        <v>1</v>
      </c>
      <c r="AM2" s="446" t="s">
        <v>2</v>
      </c>
      <c r="AN2" s="446" t="s">
        <v>3</v>
      </c>
      <c r="AP2" s="481" t="s">
        <v>108</v>
      </c>
      <c r="AQ2" s="249"/>
      <c r="AS2" s="482" t="s">
        <v>167</v>
      </c>
      <c r="AT2" s="249"/>
    </row>
    <row r="3" spans="1:46" ht="14.95" customHeight="1" thickBot="1" x14ac:dyDescent="0.3">
      <c r="A3" s="183">
        <v>43862</v>
      </c>
      <c r="B3" s="174" t="s">
        <v>46</v>
      </c>
      <c r="C3" s="174" t="s">
        <v>39</v>
      </c>
      <c r="D3" s="175" t="s">
        <v>117</v>
      </c>
      <c r="E3" s="175" t="s">
        <v>3</v>
      </c>
      <c r="F3" s="175">
        <v>12</v>
      </c>
      <c r="G3" s="175">
        <v>19</v>
      </c>
      <c r="H3" s="175">
        <v>0</v>
      </c>
      <c r="I3" s="175">
        <v>1</v>
      </c>
      <c r="J3" s="175">
        <v>0</v>
      </c>
      <c r="K3" s="175">
        <v>0</v>
      </c>
      <c r="L3" s="175">
        <v>0</v>
      </c>
      <c r="M3" s="175">
        <v>4</v>
      </c>
      <c r="N3" s="175">
        <v>0</v>
      </c>
      <c r="O3" s="175">
        <v>0</v>
      </c>
      <c r="P3" s="175">
        <v>0</v>
      </c>
      <c r="Q3" s="175">
        <v>0</v>
      </c>
      <c r="R3" s="175">
        <v>1</v>
      </c>
      <c r="S3" s="176">
        <v>51000</v>
      </c>
      <c r="T3" s="219" t="s">
        <v>241</v>
      </c>
      <c r="U3" s="177" t="s">
        <v>127</v>
      </c>
      <c r="V3" s="176" t="s">
        <v>128</v>
      </c>
      <c r="W3" s="178" t="s">
        <v>136</v>
      </c>
      <c r="X3" s="179" t="s">
        <v>126</v>
      </c>
      <c r="Y3" s="180">
        <v>1</v>
      </c>
      <c r="Z3" s="180">
        <v>0</v>
      </c>
      <c r="AA3" s="180">
        <v>0</v>
      </c>
      <c r="AB3" s="181">
        <v>1</v>
      </c>
      <c r="AC3" s="180">
        <v>0</v>
      </c>
      <c r="AD3" s="180">
        <v>0</v>
      </c>
      <c r="AE3" s="180">
        <v>0</v>
      </c>
      <c r="AF3" s="181">
        <v>0</v>
      </c>
      <c r="AG3" s="251">
        <v>1</v>
      </c>
      <c r="AH3" s="251">
        <v>0</v>
      </c>
      <c r="AI3" s="251">
        <v>0</v>
      </c>
      <c r="AJ3" s="251">
        <v>1</v>
      </c>
      <c r="AK3" s="251">
        <v>0</v>
      </c>
      <c r="AL3" s="251">
        <v>0</v>
      </c>
      <c r="AM3" s="251">
        <v>0</v>
      </c>
      <c r="AN3" s="251">
        <v>0</v>
      </c>
      <c r="AP3" s="501" t="s">
        <v>170</v>
      </c>
      <c r="AQ3" s="502">
        <f>Scotlandalltestshistplayed</f>
        <v>709</v>
      </c>
      <c r="AS3" s="501" t="s">
        <v>170</v>
      </c>
      <c r="AT3" s="502">
        <f>ScotlandRWChistplayed</f>
        <v>42</v>
      </c>
    </row>
    <row r="4" spans="1:46" ht="14.95" customHeight="1" thickBot="1" x14ac:dyDescent="0.3">
      <c r="A4" s="191">
        <v>43869</v>
      </c>
      <c r="B4" s="192" t="s">
        <v>46</v>
      </c>
      <c r="C4" s="192" t="s">
        <v>30</v>
      </c>
      <c r="D4" s="193" t="s">
        <v>119</v>
      </c>
      <c r="E4" s="193" t="s">
        <v>3</v>
      </c>
      <c r="F4" s="193">
        <v>6</v>
      </c>
      <c r="G4" s="193">
        <v>13</v>
      </c>
      <c r="H4" s="193">
        <v>0</v>
      </c>
      <c r="I4" s="193">
        <v>1</v>
      </c>
      <c r="J4" s="193">
        <v>0</v>
      </c>
      <c r="K4" s="193">
        <v>0</v>
      </c>
      <c r="L4" s="193">
        <v>0</v>
      </c>
      <c r="M4" s="193">
        <v>2</v>
      </c>
      <c r="N4" s="193">
        <v>0</v>
      </c>
      <c r="O4" s="193">
        <v>0</v>
      </c>
      <c r="P4" s="193">
        <v>0</v>
      </c>
      <c r="Q4" s="193">
        <v>0</v>
      </c>
      <c r="R4" s="193">
        <v>1</v>
      </c>
      <c r="S4" s="205">
        <v>67000</v>
      </c>
      <c r="T4" s="218" t="s">
        <v>258</v>
      </c>
      <c r="U4" s="206" t="s">
        <v>136</v>
      </c>
      <c r="V4" s="205" t="s">
        <v>218</v>
      </c>
      <c r="W4" s="194" t="s">
        <v>127</v>
      </c>
      <c r="X4" s="207" t="s">
        <v>126</v>
      </c>
      <c r="Y4" s="208">
        <v>1</v>
      </c>
      <c r="Z4" s="208">
        <v>0</v>
      </c>
      <c r="AA4" s="208">
        <v>0</v>
      </c>
      <c r="AB4" s="209">
        <v>1</v>
      </c>
      <c r="AC4" s="208">
        <v>1</v>
      </c>
      <c r="AD4" s="208">
        <v>0</v>
      </c>
      <c r="AE4" s="208">
        <v>0</v>
      </c>
      <c r="AF4" s="208">
        <v>1</v>
      </c>
      <c r="AG4" s="208">
        <v>0</v>
      </c>
      <c r="AH4" s="208">
        <v>0</v>
      </c>
      <c r="AI4" s="208">
        <v>0</v>
      </c>
      <c r="AJ4" s="209">
        <v>0</v>
      </c>
      <c r="AK4" s="208">
        <v>0</v>
      </c>
      <c r="AL4" s="208">
        <v>0</v>
      </c>
      <c r="AM4" s="208">
        <v>0</v>
      </c>
      <c r="AN4" s="208">
        <v>0</v>
      </c>
      <c r="AP4" s="503" t="s">
        <v>171</v>
      </c>
      <c r="AQ4" s="504">
        <f>Scotlandalltestshistwon</f>
        <v>307</v>
      </c>
      <c r="AS4" s="503" t="s">
        <v>171</v>
      </c>
      <c r="AT4" s="504">
        <f>ScotlandRWChistwon</f>
        <v>24</v>
      </c>
    </row>
    <row r="5" spans="1:46" ht="14.95" customHeight="1" thickBot="1" x14ac:dyDescent="0.35">
      <c r="A5" s="183">
        <v>43883</v>
      </c>
      <c r="B5" s="174" t="s">
        <v>46</v>
      </c>
      <c r="C5" s="174" t="s">
        <v>33</v>
      </c>
      <c r="D5" s="175" t="s">
        <v>116</v>
      </c>
      <c r="E5" s="175" t="s">
        <v>1</v>
      </c>
      <c r="F5" s="175">
        <v>17</v>
      </c>
      <c r="G5" s="175">
        <v>0</v>
      </c>
      <c r="H5" s="175">
        <v>0</v>
      </c>
      <c r="I5" s="175">
        <v>0</v>
      </c>
      <c r="J5" s="175">
        <v>3</v>
      </c>
      <c r="K5" s="175">
        <v>1</v>
      </c>
      <c r="L5" s="175">
        <v>0</v>
      </c>
      <c r="M5" s="175">
        <v>0</v>
      </c>
      <c r="N5" s="175">
        <v>0</v>
      </c>
      <c r="O5" s="175">
        <v>0</v>
      </c>
      <c r="P5" s="175">
        <v>0</v>
      </c>
      <c r="Q5" s="175">
        <v>0</v>
      </c>
      <c r="R5" s="175">
        <v>0</v>
      </c>
      <c r="S5" s="176">
        <v>54349</v>
      </c>
      <c r="T5" s="346" t="s">
        <v>265</v>
      </c>
      <c r="U5" s="177" t="s">
        <v>150</v>
      </c>
      <c r="V5" s="176" t="s">
        <v>123</v>
      </c>
      <c r="W5" s="177" t="s">
        <v>127</v>
      </c>
      <c r="X5" s="178" t="s">
        <v>159</v>
      </c>
      <c r="Y5" s="180">
        <v>1</v>
      </c>
      <c r="Z5" s="180">
        <v>1</v>
      </c>
      <c r="AA5" s="180">
        <v>0</v>
      </c>
      <c r="AB5" s="181">
        <v>0</v>
      </c>
      <c r="AC5" s="251">
        <v>0</v>
      </c>
      <c r="AD5" s="447">
        <v>0</v>
      </c>
      <c r="AE5" s="180">
        <v>0</v>
      </c>
      <c r="AF5" s="360">
        <v>0</v>
      </c>
      <c r="AG5" s="180">
        <v>1</v>
      </c>
      <c r="AH5" s="180">
        <v>1</v>
      </c>
      <c r="AI5" s="180">
        <v>0</v>
      </c>
      <c r="AJ5" s="181">
        <v>0</v>
      </c>
      <c r="AK5" s="180">
        <v>0</v>
      </c>
      <c r="AL5" s="180">
        <v>0</v>
      </c>
      <c r="AM5" s="180">
        <v>0</v>
      </c>
      <c r="AN5" s="180">
        <v>0</v>
      </c>
      <c r="AP5" s="503" t="s">
        <v>177</v>
      </c>
      <c r="AQ5" s="504">
        <f>Scotlandalltestshistdrawn</f>
        <v>33</v>
      </c>
      <c r="AS5" s="503" t="s">
        <v>177</v>
      </c>
      <c r="AT5" s="504">
        <f>ScotlandRWChistdrawn</f>
        <v>1</v>
      </c>
    </row>
    <row r="6" spans="1:46" ht="14.95" customHeight="1" thickBot="1" x14ac:dyDescent="0.35">
      <c r="A6" s="191">
        <v>43898</v>
      </c>
      <c r="B6" s="192" t="s">
        <v>46</v>
      </c>
      <c r="C6" s="192" t="s">
        <v>34</v>
      </c>
      <c r="D6" s="193" t="s">
        <v>119</v>
      </c>
      <c r="E6" s="193" t="s">
        <v>1</v>
      </c>
      <c r="F6" s="193">
        <v>28</v>
      </c>
      <c r="G6" s="193">
        <v>17</v>
      </c>
      <c r="H6" s="193">
        <v>0</v>
      </c>
      <c r="I6" s="193">
        <v>0</v>
      </c>
      <c r="J6" s="193">
        <v>3</v>
      </c>
      <c r="K6" s="193">
        <v>2</v>
      </c>
      <c r="L6" s="193">
        <v>0</v>
      </c>
      <c r="M6" s="193">
        <v>3</v>
      </c>
      <c r="N6" s="193">
        <v>0</v>
      </c>
      <c r="O6" s="193">
        <v>0</v>
      </c>
      <c r="P6" s="193">
        <v>0</v>
      </c>
      <c r="Q6" s="193">
        <v>0</v>
      </c>
      <c r="R6" s="193">
        <v>2</v>
      </c>
      <c r="S6" s="205">
        <v>67144</v>
      </c>
      <c r="T6" s="312" t="s">
        <v>275</v>
      </c>
      <c r="U6" s="206" t="s">
        <v>149</v>
      </c>
      <c r="V6" s="205" t="s">
        <v>242</v>
      </c>
      <c r="W6" s="194" t="s">
        <v>124</v>
      </c>
      <c r="X6" s="207" t="s">
        <v>154</v>
      </c>
      <c r="Y6" s="208">
        <v>1</v>
      </c>
      <c r="Z6" s="208">
        <v>1</v>
      </c>
      <c r="AA6" s="208">
        <v>0</v>
      </c>
      <c r="AB6" s="209">
        <v>0</v>
      </c>
      <c r="AC6" s="208">
        <v>1</v>
      </c>
      <c r="AD6" s="208">
        <v>1</v>
      </c>
      <c r="AE6" s="208">
        <v>0</v>
      </c>
      <c r="AF6" s="209">
        <v>0</v>
      </c>
      <c r="AG6" s="250">
        <v>0</v>
      </c>
      <c r="AH6" s="250">
        <v>0</v>
      </c>
      <c r="AI6" s="250">
        <v>0</v>
      </c>
      <c r="AJ6" s="250">
        <v>0</v>
      </c>
      <c r="AK6" s="208">
        <v>0</v>
      </c>
      <c r="AL6" s="208">
        <v>0</v>
      </c>
      <c r="AM6" s="208">
        <v>0</v>
      </c>
      <c r="AN6" s="208">
        <v>0</v>
      </c>
      <c r="AP6" s="503" t="s">
        <v>172</v>
      </c>
      <c r="AQ6" s="504">
        <f>Scotlandalltestshistlost</f>
        <v>369</v>
      </c>
      <c r="AS6" s="503" t="s">
        <v>172</v>
      </c>
      <c r="AT6" s="504">
        <f>ScotlandRWChistlost</f>
        <v>17</v>
      </c>
    </row>
    <row r="7" spans="1:46" ht="14.95" customHeight="1" thickBot="1" x14ac:dyDescent="0.35">
      <c r="A7" s="191">
        <v>44127</v>
      </c>
      <c r="B7" s="192" t="s">
        <v>45</v>
      </c>
      <c r="C7" s="192" t="s">
        <v>38</v>
      </c>
      <c r="D7" s="193" t="s">
        <v>119</v>
      </c>
      <c r="E7" s="193" t="s">
        <v>1</v>
      </c>
      <c r="F7" s="193">
        <v>48</v>
      </c>
      <c r="G7" s="193">
        <v>7</v>
      </c>
      <c r="H7" s="193" t="s">
        <v>107</v>
      </c>
      <c r="I7" s="193" t="s">
        <v>107</v>
      </c>
      <c r="J7" s="193">
        <v>8</v>
      </c>
      <c r="K7" s="193">
        <v>4</v>
      </c>
      <c r="L7" s="193">
        <v>0</v>
      </c>
      <c r="M7" s="193">
        <v>0</v>
      </c>
      <c r="N7" s="193">
        <v>0</v>
      </c>
      <c r="O7" s="193">
        <v>0</v>
      </c>
      <c r="P7" s="193" t="s">
        <v>107</v>
      </c>
      <c r="Q7" s="193" t="s">
        <v>107</v>
      </c>
      <c r="R7" s="193">
        <v>1</v>
      </c>
      <c r="S7" s="205">
        <v>0</v>
      </c>
      <c r="T7" s="312" t="s">
        <v>214</v>
      </c>
      <c r="U7" s="206" t="s">
        <v>388</v>
      </c>
      <c r="V7" s="205" t="s">
        <v>389</v>
      </c>
      <c r="W7" s="194" t="s">
        <v>127</v>
      </c>
      <c r="X7" s="207" t="s">
        <v>159</v>
      </c>
      <c r="Y7" s="208">
        <v>1</v>
      </c>
      <c r="Z7" s="208">
        <v>1</v>
      </c>
      <c r="AA7" s="208">
        <v>0</v>
      </c>
      <c r="AB7" s="209">
        <v>0</v>
      </c>
      <c r="AC7" s="208">
        <v>1</v>
      </c>
      <c r="AD7" s="208">
        <v>1</v>
      </c>
      <c r="AE7" s="208">
        <v>0</v>
      </c>
      <c r="AF7" s="208">
        <v>0</v>
      </c>
      <c r="AG7" s="208">
        <v>0</v>
      </c>
      <c r="AH7" s="208">
        <v>0</v>
      </c>
      <c r="AI7" s="208">
        <v>0</v>
      </c>
      <c r="AJ7" s="209">
        <v>0</v>
      </c>
      <c r="AK7" s="208">
        <v>0</v>
      </c>
      <c r="AL7" s="208">
        <v>0</v>
      </c>
      <c r="AM7" s="208">
        <v>0</v>
      </c>
      <c r="AN7" s="208">
        <v>0</v>
      </c>
      <c r="AP7" s="503" t="s">
        <v>178</v>
      </c>
      <c r="AQ7" s="504">
        <f>Scotlandalltestshistptsscored</f>
        <v>10111</v>
      </c>
      <c r="AS7" s="503" t="s">
        <v>178</v>
      </c>
      <c r="AT7" s="504">
        <f>ScotlandRWChistptsscored</f>
        <v>1261</v>
      </c>
    </row>
    <row r="8" spans="1:46" ht="14.95" customHeight="1" thickBot="1" x14ac:dyDescent="0.35">
      <c r="A8" s="183">
        <v>44135</v>
      </c>
      <c r="B8" s="174" t="s">
        <v>46</v>
      </c>
      <c r="C8" s="174" t="s">
        <v>32</v>
      </c>
      <c r="D8" s="174" t="s">
        <v>363</v>
      </c>
      <c r="E8" s="175" t="s">
        <v>1</v>
      </c>
      <c r="F8" s="175">
        <v>14</v>
      </c>
      <c r="G8" s="175">
        <v>10</v>
      </c>
      <c r="H8" s="175">
        <v>0</v>
      </c>
      <c r="I8" s="175">
        <v>0</v>
      </c>
      <c r="J8" s="175">
        <v>1</v>
      </c>
      <c r="K8" s="175">
        <v>0</v>
      </c>
      <c r="L8" s="175">
        <v>0</v>
      </c>
      <c r="M8" s="175">
        <v>3</v>
      </c>
      <c r="N8" s="175">
        <v>0</v>
      </c>
      <c r="O8" s="175">
        <v>0</v>
      </c>
      <c r="P8" s="175">
        <v>0</v>
      </c>
      <c r="Q8" s="175">
        <v>1</v>
      </c>
      <c r="R8" s="175">
        <v>1</v>
      </c>
      <c r="S8" s="176">
        <v>0</v>
      </c>
      <c r="T8" s="346" t="s">
        <v>411</v>
      </c>
      <c r="U8" s="177" t="s">
        <v>121</v>
      </c>
      <c r="V8" s="176" t="s">
        <v>157</v>
      </c>
      <c r="W8" s="176" t="s">
        <v>127</v>
      </c>
      <c r="X8" s="176" t="s">
        <v>392</v>
      </c>
      <c r="Y8" s="180">
        <v>1</v>
      </c>
      <c r="Z8" s="180">
        <v>1</v>
      </c>
      <c r="AA8" s="180">
        <v>0</v>
      </c>
      <c r="AB8" s="181">
        <v>0</v>
      </c>
      <c r="AC8" s="180">
        <v>0</v>
      </c>
      <c r="AD8" s="180">
        <v>0</v>
      </c>
      <c r="AE8" s="180">
        <v>0</v>
      </c>
      <c r="AF8" s="181">
        <v>0</v>
      </c>
      <c r="AG8" s="180">
        <v>1</v>
      </c>
      <c r="AH8" s="180">
        <v>1</v>
      </c>
      <c r="AI8" s="180">
        <v>0</v>
      </c>
      <c r="AJ8" s="181">
        <v>0</v>
      </c>
      <c r="AK8" s="180">
        <v>0</v>
      </c>
      <c r="AL8" s="180">
        <v>0</v>
      </c>
      <c r="AM8" s="180">
        <v>0</v>
      </c>
      <c r="AN8" s="181">
        <v>0</v>
      </c>
      <c r="AP8" s="503" t="s">
        <v>179</v>
      </c>
      <c r="AQ8" s="504">
        <f>Scotlandalltestshistptscon</f>
        <v>10745</v>
      </c>
      <c r="AS8" s="503" t="s">
        <v>179</v>
      </c>
      <c r="AT8" s="504">
        <f>ScotlandRWChistptscon</f>
        <v>803</v>
      </c>
    </row>
    <row r="9" spans="1:46" ht="14.95" customHeight="1" thickBot="1" x14ac:dyDescent="0.3">
      <c r="A9" s="183">
        <v>44149</v>
      </c>
      <c r="B9" s="174" t="s">
        <v>362</v>
      </c>
      <c r="C9" s="174" t="s">
        <v>33</v>
      </c>
      <c r="D9" s="174" t="s">
        <v>414</v>
      </c>
      <c r="E9" s="175" t="s">
        <v>1</v>
      </c>
      <c r="F9" s="175">
        <v>28</v>
      </c>
      <c r="G9" s="175">
        <v>17</v>
      </c>
      <c r="H9" s="175">
        <v>1</v>
      </c>
      <c r="I9" s="175">
        <v>0</v>
      </c>
      <c r="J9" s="175">
        <v>4</v>
      </c>
      <c r="K9" s="175">
        <v>4</v>
      </c>
      <c r="L9" s="175">
        <v>0</v>
      </c>
      <c r="M9" s="175">
        <v>0</v>
      </c>
      <c r="N9" s="175">
        <v>0</v>
      </c>
      <c r="O9" s="175">
        <v>0</v>
      </c>
      <c r="P9" s="175">
        <v>0</v>
      </c>
      <c r="Q9" s="175">
        <v>0</v>
      </c>
      <c r="R9" s="175">
        <v>1</v>
      </c>
      <c r="S9" s="176">
        <v>0</v>
      </c>
      <c r="T9" s="425" t="s">
        <v>460</v>
      </c>
      <c r="U9" s="177" t="s">
        <v>125</v>
      </c>
      <c r="V9" s="176" t="s">
        <v>124</v>
      </c>
      <c r="W9" s="176" t="s">
        <v>400</v>
      </c>
      <c r="X9" s="196" t="s">
        <v>392</v>
      </c>
      <c r="Y9" s="180">
        <v>1</v>
      </c>
      <c r="Z9" s="180">
        <v>1</v>
      </c>
      <c r="AA9" s="180">
        <v>0</v>
      </c>
      <c r="AB9" s="181">
        <v>0</v>
      </c>
      <c r="AC9" s="180">
        <v>0</v>
      </c>
      <c r="AD9" s="180">
        <v>0</v>
      </c>
      <c r="AE9" s="180">
        <v>0</v>
      </c>
      <c r="AF9" s="181">
        <v>0</v>
      </c>
      <c r="AG9" s="180">
        <v>1</v>
      </c>
      <c r="AH9" s="180">
        <v>1</v>
      </c>
      <c r="AI9" s="180">
        <v>0</v>
      </c>
      <c r="AJ9" s="181">
        <v>0</v>
      </c>
      <c r="AK9" s="180">
        <v>0</v>
      </c>
      <c r="AL9" s="180">
        <v>0</v>
      </c>
      <c r="AM9" s="180">
        <v>0</v>
      </c>
      <c r="AN9" s="181">
        <v>0</v>
      </c>
      <c r="AP9" s="503" t="s">
        <v>169</v>
      </c>
      <c r="AQ9" s="504">
        <f>Scotlandalltestshisttriesscored</f>
        <v>1288</v>
      </c>
      <c r="AS9" s="503" t="s">
        <v>169</v>
      </c>
      <c r="AT9" s="504">
        <f>ScotlandRWChisttriesscored</f>
        <v>146</v>
      </c>
    </row>
    <row r="10" spans="1:46" ht="14.95" customHeight="1" thickBot="1" x14ac:dyDescent="0.35">
      <c r="A10" s="191">
        <v>44157</v>
      </c>
      <c r="B10" s="192" t="s">
        <v>362</v>
      </c>
      <c r="C10" s="192" t="s">
        <v>34</v>
      </c>
      <c r="D10" s="192" t="s">
        <v>119</v>
      </c>
      <c r="E10" s="193" t="s">
        <v>3</v>
      </c>
      <c r="F10" s="193">
        <v>15</v>
      </c>
      <c r="G10" s="193">
        <v>22</v>
      </c>
      <c r="H10" s="193">
        <v>0</v>
      </c>
      <c r="I10" s="193">
        <v>1</v>
      </c>
      <c r="J10" s="193">
        <v>0</v>
      </c>
      <c r="K10" s="193">
        <v>0</v>
      </c>
      <c r="L10" s="193">
        <v>0</v>
      </c>
      <c r="M10" s="193">
        <v>5</v>
      </c>
      <c r="N10" s="193">
        <v>0</v>
      </c>
      <c r="O10" s="193">
        <v>0</v>
      </c>
      <c r="P10" s="193">
        <v>0</v>
      </c>
      <c r="Q10" s="193">
        <v>0</v>
      </c>
      <c r="R10" s="193">
        <v>1</v>
      </c>
      <c r="S10" s="205">
        <v>0</v>
      </c>
      <c r="T10" s="312" t="s">
        <v>484</v>
      </c>
      <c r="U10" s="206" t="s">
        <v>124</v>
      </c>
      <c r="V10" s="205" t="s">
        <v>159</v>
      </c>
      <c r="W10" s="206" t="s">
        <v>152</v>
      </c>
      <c r="X10" s="205" t="s">
        <v>485</v>
      </c>
      <c r="Y10" s="208">
        <v>1</v>
      </c>
      <c r="Z10" s="208">
        <v>0</v>
      </c>
      <c r="AA10" s="208">
        <v>0</v>
      </c>
      <c r="AB10" s="209">
        <v>1</v>
      </c>
      <c r="AC10" s="208">
        <v>1</v>
      </c>
      <c r="AD10" s="208">
        <v>0</v>
      </c>
      <c r="AE10" s="208">
        <v>0</v>
      </c>
      <c r="AF10" s="209">
        <v>1</v>
      </c>
      <c r="AG10" s="208">
        <v>0</v>
      </c>
      <c r="AH10" s="208">
        <v>0</v>
      </c>
      <c r="AI10" s="208">
        <v>0</v>
      </c>
      <c r="AJ10" s="209">
        <v>0</v>
      </c>
      <c r="AK10" s="208">
        <v>0</v>
      </c>
      <c r="AL10" s="208">
        <v>0</v>
      </c>
      <c r="AM10" s="208">
        <v>0</v>
      </c>
      <c r="AN10" s="209">
        <v>0</v>
      </c>
    </row>
    <row r="11" spans="1:46" ht="14.95" customHeight="1" thickBot="1" x14ac:dyDescent="0.35">
      <c r="A11" s="191">
        <v>44163</v>
      </c>
      <c r="B11" s="192" t="s">
        <v>362</v>
      </c>
      <c r="C11" s="192" t="s">
        <v>31</v>
      </c>
      <c r="D11" s="192" t="s">
        <v>119</v>
      </c>
      <c r="E11" s="193" t="s">
        <v>1</v>
      </c>
      <c r="F11" s="193">
        <v>28</v>
      </c>
      <c r="G11" s="193">
        <v>0</v>
      </c>
      <c r="H11" s="193">
        <v>1</v>
      </c>
      <c r="I11" s="193">
        <v>0</v>
      </c>
      <c r="J11" s="193">
        <v>4</v>
      </c>
      <c r="K11" s="193">
        <v>0</v>
      </c>
      <c r="L11" s="193">
        <v>0</v>
      </c>
      <c r="M11" s="193">
        <v>0</v>
      </c>
      <c r="N11" s="193"/>
      <c r="O11" s="193"/>
      <c r="P11" s="193"/>
      <c r="Q11" s="193"/>
      <c r="R11" s="193"/>
      <c r="S11" s="205" t="s">
        <v>504</v>
      </c>
      <c r="T11" s="312"/>
      <c r="U11" s="206"/>
      <c r="V11" s="205"/>
      <c r="W11" s="194"/>
      <c r="X11" s="207"/>
      <c r="Y11" s="208">
        <v>1</v>
      </c>
      <c r="Z11" s="208">
        <v>1</v>
      </c>
      <c r="AA11" s="208">
        <v>0</v>
      </c>
      <c r="AB11" s="209">
        <v>0</v>
      </c>
      <c r="AC11" s="208"/>
      <c r="AD11" s="208"/>
      <c r="AE11" s="208"/>
      <c r="AF11" s="209"/>
      <c r="AG11" s="208"/>
      <c r="AH11" s="208"/>
      <c r="AI11" s="208"/>
      <c r="AJ11" s="209"/>
      <c r="AK11" s="208"/>
      <c r="AL11" s="208"/>
      <c r="AM11" s="208"/>
      <c r="AN11" s="209"/>
    </row>
    <row r="12" spans="1:46" ht="14.95" customHeight="1" thickBot="1" x14ac:dyDescent="0.3">
      <c r="A12" s="183">
        <v>44535</v>
      </c>
      <c r="B12" s="174" t="s">
        <v>362</v>
      </c>
      <c r="C12" s="174" t="s">
        <v>39</v>
      </c>
      <c r="D12" s="174" t="s">
        <v>117</v>
      </c>
      <c r="E12" s="175" t="s">
        <v>3</v>
      </c>
      <c r="F12" s="175">
        <v>16</v>
      </c>
      <c r="G12" s="175">
        <v>31</v>
      </c>
      <c r="H12" s="175" t="s">
        <v>107</v>
      </c>
      <c r="I12" s="175" t="s">
        <v>107</v>
      </c>
      <c r="J12" s="175">
        <v>1</v>
      </c>
      <c r="K12" s="175">
        <v>1</v>
      </c>
      <c r="L12" s="175">
        <v>0</v>
      </c>
      <c r="M12" s="175">
        <v>3</v>
      </c>
      <c r="N12" s="175">
        <v>1</v>
      </c>
      <c r="O12" s="175">
        <v>0</v>
      </c>
      <c r="P12" s="175" t="s">
        <v>107</v>
      </c>
      <c r="Q12" s="175" t="s">
        <v>107</v>
      </c>
      <c r="R12" s="175">
        <v>3</v>
      </c>
      <c r="S12" s="178">
        <v>0</v>
      </c>
      <c r="T12" s="382" t="s">
        <v>506</v>
      </c>
      <c r="U12" s="178" t="s">
        <v>152</v>
      </c>
      <c r="V12" s="178" t="s">
        <v>335</v>
      </c>
      <c r="W12" s="178" t="s">
        <v>122</v>
      </c>
      <c r="X12" s="179" t="s">
        <v>400</v>
      </c>
      <c r="Y12" s="180">
        <v>1</v>
      </c>
      <c r="Z12" s="180">
        <v>0</v>
      </c>
      <c r="AA12" s="180">
        <v>0</v>
      </c>
      <c r="AB12" s="181">
        <v>1</v>
      </c>
      <c r="AC12" s="180">
        <v>0</v>
      </c>
      <c r="AD12" s="180">
        <v>0</v>
      </c>
      <c r="AE12" s="180">
        <v>0</v>
      </c>
      <c r="AF12" s="181">
        <v>0</v>
      </c>
      <c r="AG12" s="180">
        <v>1</v>
      </c>
      <c r="AH12" s="180">
        <v>0</v>
      </c>
      <c r="AI12" s="180">
        <v>0</v>
      </c>
      <c r="AJ12" s="181">
        <v>1</v>
      </c>
      <c r="AK12" s="180">
        <v>0</v>
      </c>
      <c r="AL12" s="180">
        <v>0</v>
      </c>
      <c r="AM12" s="180">
        <v>0</v>
      </c>
      <c r="AN12" s="181">
        <v>0</v>
      </c>
    </row>
    <row r="13" spans="1:46" ht="15.8" customHeight="1" thickBot="1" x14ac:dyDescent="0.3">
      <c r="A13" s="387"/>
      <c r="B13" s="388"/>
      <c r="C13" s="769" t="s">
        <v>110</v>
      </c>
      <c r="D13" s="770"/>
      <c r="E13" s="771"/>
      <c r="F13" s="386">
        <f>SUM(F3+F4+F5+F6+F8)</f>
        <v>77</v>
      </c>
      <c r="G13" s="386">
        <f t="shared" ref="G13:R13" si="0">SUM(G3+G4+G5+G6+G8)</f>
        <v>59</v>
      </c>
      <c r="H13" s="386">
        <f t="shared" si="0"/>
        <v>0</v>
      </c>
      <c r="I13" s="386">
        <f t="shared" si="0"/>
        <v>2</v>
      </c>
      <c r="J13" s="386">
        <f t="shared" si="0"/>
        <v>7</v>
      </c>
      <c r="K13" s="386">
        <f t="shared" si="0"/>
        <v>3</v>
      </c>
      <c r="L13" s="386">
        <f t="shared" si="0"/>
        <v>0</v>
      </c>
      <c r="M13" s="386">
        <f t="shared" si="0"/>
        <v>12</v>
      </c>
      <c r="N13" s="386">
        <f t="shared" si="0"/>
        <v>0</v>
      </c>
      <c r="O13" s="386">
        <f t="shared" si="0"/>
        <v>0</v>
      </c>
      <c r="P13" s="386">
        <f t="shared" si="0"/>
        <v>0</v>
      </c>
      <c r="Q13" s="386">
        <f t="shared" si="0"/>
        <v>1</v>
      </c>
      <c r="R13" s="386">
        <f t="shared" si="0"/>
        <v>5</v>
      </c>
      <c r="W13" s="383"/>
      <c r="X13" s="612" t="s">
        <v>110</v>
      </c>
      <c r="Y13" s="386">
        <f t="shared" ref="Y13:AN13" si="1">SUM(Y3+Y4+Y5+Y6+Y8)</f>
        <v>5</v>
      </c>
      <c r="Z13" s="386">
        <f t="shared" si="1"/>
        <v>3</v>
      </c>
      <c r="AA13" s="386">
        <f t="shared" si="1"/>
        <v>0</v>
      </c>
      <c r="AB13" s="386">
        <f t="shared" si="1"/>
        <v>2</v>
      </c>
      <c r="AC13" s="384">
        <f t="shared" si="1"/>
        <v>2</v>
      </c>
      <c r="AD13" s="384">
        <f t="shared" si="1"/>
        <v>1</v>
      </c>
      <c r="AE13" s="384">
        <f t="shared" si="1"/>
        <v>0</v>
      </c>
      <c r="AF13" s="384">
        <f t="shared" si="1"/>
        <v>1</v>
      </c>
      <c r="AG13" s="385">
        <f t="shared" si="1"/>
        <v>3</v>
      </c>
      <c r="AH13" s="385">
        <f t="shared" si="1"/>
        <v>2</v>
      </c>
      <c r="AI13" s="385">
        <f t="shared" si="1"/>
        <v>0</v>
      </c>
      <c r="AJ13" s="385">
        <f t="shared" si="1"/>
        <v>1</v>
      </c>
      <c r="AK13" s="386">
        <f t="shared" si="1"/>
        <v>0</v>
      </c>
      <c r="AL13" s="386">
        <f t="shared" si="1"/>
        <v>0</v>
      </c>
      <c r="AM13" s="386">
        <f t="shared" si="1"/>
        <v>0</v>
      </c>
      <c r="AN13" s="386">
        <f t="shared" si="1"/>
        <v>0</v>
      </c>
    </row>
    <row r="14" spans="1:46" ht="15.8" customHeight="1" thickBot="1" x14ac:dyDescent="0.3">
      <c r="A14" s="387"/>
      <c r="B14" s="388"/>
      <c r="C14" s="763" t="s">
        <v>373</v>
      </c>
      <c r="D14" s="808"/>
      <c r="E14" s="809"/>
      <c r="F14" s="399">
        <f>F7</f>
        <v>48</v>
      </c>
      <c r="G14" s="399">
        <f>G7</f>
        <v>7</v>
      </c>
      <c r="H14" s="399" t="s">
        <v>107</v>
      </c>
      <c r="I14" s="399" t="s">
        <v>107</v>
      </c>
      <c r="J14" s="399">
        <f t="shared" ref="J14:O14" si="2">J7</f>
        <v>8</v>
      </c>
      <c r="K14" s="399">
        <f t="shared" si="2"/>
        <v>4</v>
      </c>
      <c r="L14" s="399">
        <f t="shared" si="2"/>
        <v>0</v>
      </c>
      <c r="M14" s="399">
        <f t="shared" si="2"/>
        <v>0</v>
      </c>
      <c r="N14" s="399">
        <f t="shared" si="2"/>
        <v>0</v>
      </c>
      <c r="O14" s="399">
        <f t="shared" si="2"/>
        <v>0</v>
      </c>
      <c r="P14" s="399" t="s">
        <v>107</v>
      </c>
      <c r="Q14" s="399" t="s">
        <v>107</v>
      </c>
      <c r="R14" s="399">
        <f>R7</f>
        <v>1</v>
      </c>
      <c r="S14" s="395"/>
      <c r="T14" s="395"/>
      <c r="U14" s="395"/>
      <c r="V14" s="395"/>
      <c r="W14" s="396"/>
      <c r="X14" s="601" t="s">
        <v>373</v>
      </c>
      <c r="Y14" s="399">
        <f t="shared" ref="Y14:AN14" si="3">Y7</f>
        <v>1</v>
      </c>
      <c r="Z14" s="399">
        <f t="shared" si="3"/>
        <v>1</v>
      </c>
      <c r="AA14" s="399">
        <f t="shared" si="3"/>
        <v>0</v>
      </c>
      <c r="AB14" s="399">
        <f t="shared" si="3"/>
        <v>0</v>
      </c>
      <c r="AC14" s="397">
        <f t="shared" si="3"/>
        <v>1</v>
      </c>
      <c r="AD14" s="397">
        <f t="shared" si="3"/>
        <v>1</v>
      </c>
      <c r="AE14" s="397">
        <f t="shared" si="3"/>
        <v>0</v>
      </c>
      <c r="AF14" s="397">
        <f t="shared" si="3"/>
        <v>0</v>
      </c>
      <c r="AG14" s="398">
        <f t="shared" si="3"/>
        <v>0</v>
      </c>
      <c r="AH14" s="398">
        <f t="shared" si="3"/>
        <v>0</v>
      </c>
      <c r="AI14" s="398">
        <f t="shared" si="3"/>
        <v>0</v>
      </c>
      <c r="AJ14" s="398">
        <f t="shared" si="3"/>
        <v>0</v>
      </c>
      <c r="AK14" s="399">
        <f t="shared" si="3"/>
        <v>0</v>
      </c>
      <c r="AL14" s="399">
        <f t="shared" si="3"/>
        <v>0</v>
      </c>
      <c r="AM14" s="399">
        <f t="shared" si="3"/>
        <v>0</v>
      </c>
      <c r="AN14" s="399">
        <f t="shared" si="3"/>
        <v>0</v>
      </c>
    </row>
    <row r="15" spans="1:46" ht="15.8" customHeight="1" thickBot="1" x14ac:dyDescent="0.3">
      <c r="A15" s="387"/>
      <c r="B15" s="388"/>
      <c r="C15" s="789" t="s">
        <v>372</v>
      </c>
      <c r="D15" s="810"/>
      <c r="E15" s="811"/>
      <c r="F15" s="613">
        <f>SUM(F9:F12)</f>
        <v>87</v>
      </c>
      <c r="G15" s="613">
        <f t="shared" ref="G15:R15" si="4">SUM(G9:G12)</f>
        <v>70</v>
      </c>
      <c r="H15" s="613">
        <f t="shared" si="4"/>
        <v>2</v>
      </c>
      <c r="I15" s="613">
        <f t="shared" si="4"/>
        <v>1</v>
      </c>
      <c r="J15" s="613">
        <f t="shared" si="4"/>
        <v>9</v>
      </c>
      <c r="K15" s="613">
        <f t="shared" si="4"/>
        <v>5</v>
      </c>
      <c r="L15" s="613">
        <f t="shared" si="4"/>
        <v>0</v>
      </c>
      <c r="M15" s="613">
        <f t="shared" si="4"/>
        <v>8</v>
      </c>
      <c r="N15" s="613">
        <f t="shared" si="4"/>
        <v>1</v>
      </c>
      <c r="O15" s="613">
        <f t="shared" si="4"/>
        <v>0</v>
      </c>
      <c r="P15" s="613">
        <f t="shared" si="4"/>
        <v>0</v>
      </c>
      <c r="Q15" s="613">
        <f t="shared" si="4"/>
        <v>0</v>
      </c>
      <c r="R15" s="613">
        <f t="shared" si="4"/>
        <v>5</v>
      </c>
      <c r="S15" s="614"/>
      <c r="T15" s="614"/>
      <c r="U15" s="614"/>
      <c r="V15" s="614"/>
      <c r="W15" s="615"/>
      <c r="X15" s="619" t="s">
        <v>372</v>
      </c>
      <c r="Y15" s="620">
        <f t="shared" ref="Y15:AN15" si="5">SUM(Y9:Y12)</f>
        <v>4</v>
      </c>
      <c r="Z15" s="621">
        <f t="shared" si="5"/>
        <v>2</v>
      </c>
      <c r="AA15" s="613">
        <f t="shared" si="5"/>
        <v>0</v>
      </c>
      <c r="AB15" s="613">
        <f t="shared" si="5"/>
        <v>2</v>
      </c>
      <c r="AC15" s="617">
        <f t="shared" si="5"/>
        <v>1</v>
      </c>
      <c r="AD15" s="617">
        <f t="shared" si="5"/>
        <v>0</v>
      </c>
      <c r="AE15" s="617">
        <f t="shared" si="5"/>
        <v>0</v>
      </c>
      <c r="AF15" s="617">
        <f t="shared" si="5"/>
        <v>1</v>
      </c>
      <c r="AG15" s="618">
        <f t="shared" si="5"/>
        <v>2</v>
      </c>
      <c r="AH15" s="618">
        <f t="shared" si="5"/>
        <v>1</v>
      </c>
      <c r="AI15" s="618">
        <f t="shared" si="5"/>
        <v>0</v>
      </c>
      <c r="AJ15" s="618">
        <f t="shared" si="5"/>
        <v>1</v>
      </c>
      <c r="AK15" s="613">
        <f t="shared" si="5"/>
        <v>0</v>
      </c>
      <c r="AL15" s="613">
        <f t="shared" si="5"/>
        <v>0</v>
      </c>
      <c r="AM15" s="613">
        <f t="shared" si="5"/>
        <v>0</v>
      </c>
      <c r="AN15" s="613">
        <f t="shared" si="5"/>
        <v>0</v>
      </c>
    </row>
    <row r="16" spans="1:46" ht="14.95" thickBot="1" x14ac:dyDescent="0.3">
      <c r="A16" s="387"/>
      <c r="B16" s="388"/>
      <c r="C16" s="732" t="s">
        <v>108</v>
      </c>
      <c r="D16" s="733"/>
      <c r="E16" s="734"/>
      <c r="F16" s="552">
        <f>SUM(F3+F4+F5+F6+F7+F8+F9+F10+F12)</f>
        <v>184</v>
      </c>
      <c r="G16" s="552">
        <f t="shared" ref="G16:R16" si="6">SUM(G3+G4+G5+G6+G7+G8+G9+G10+G12)</f>
        <v>136</v>
      </c>
      <c r="H16" s="552">
        <f>SUM(H3+H4+H5+H6+H8+H9+H10)</f>
        <v>1</v>
      </c>
      <c r="I16" s="552">
        <f>SUM(I3+I4+I5+I6+I8+I9+I10)</f>
        <v>3</v>
      </c>
      <c r="J16" s="552">
        <f t="shared" si="6"/>
        <v>20</v>
      </c>
      <c r="K16" s="552">
        <f t="shared" si="6"/>
        <v>12</v>
      </c>
      <c r="L16" s="552">
        <f t="shared" si="6"/>
        <v>0</v>
      </c>
      <c r="M16" s="552">
        <f t="shared" si="6"/>
        <v>20</v>
      </c>
      <c r="N16" s="552">
        <f t="shared" si="6"/>
        <v>1</v>
      </c>
      <c r="O16" s="552">
        <f t="shared" si="6"/>
        <v>0</v>
      </c>
      <c r="P16" s="552">
        <f t="shared" ref="P16:Q16" si="7">SUM(P3+P4+P5+P6+P8+P9+P10)</f>
        <v>0</v>
      </c>
      <c r="Q16" s="552">
        <f t="shared" si="7"/>
        <v>1</v>
      </c>
      <c r="R16" s="552">
        <f t="shared" si="6"/>
        <v>11</v>
      </c>
      <c r="S16" s="548"/>
      <c r="T16" s="548"/>
      <c r="U16" s="548"/>
      <c r="V16" s="548"/>
      <c r="W16" s="13"/>
      <c r="X16" s="596" t="s">
        <v>108</v>
      </c>
      <c r="Y16" s="552">
        <f t="shared" ref="Y16:AN16" si="8">SUM(Y3+Y4+Y5+Y6+Y7+Y8+Y9+Y10+Y12)</f>
        <v>9</v>
      </c>
      <c r="Z16" s="552">
        <f t="shared" si="8"/>
        <v>5</v>
      </c>
      <c r="AA16" s="552">
        <f t="shared" si="8"/>
        <v>0</v>
      </c>
      <c r="AB16" s="552">
        <f t="shared" si="8"/>
        <v>4</v>
      </c>
      <c r="AC16" s="550">
        <f t="shared" si="8"/>
        <v>4</v>
      </c>
      <c r="AD16" s="550">
        <f t="shared" si="8"/>
        <v>2</v>
      </c>
      <c r="AE16" s="550">
        <f t="shared" si="8"/>
        <v>0</v>
      </c>
      <c r="AF16" s="550">
        <f t="shared" si="8"/>
        <v>2</v>
      </c>
      <c r="AG16" s="551">
        <f t="shared" si="8"/>
        <v>5</v>
      </c>
      <c r="AH16" s="551">
        <f t="shared" si="8"/>
        <v>3</v>
      </c>
      <c r="AI16" s="551">
        <f t="shared" si="8"/>
        <v>0</v>
      </c>
      <c r="AJ16" s="551">
        <f t="shared" si="8"/>
        <v>2</v>
      </c>
      <c r="AK16" s="552">
        <f t="shared" si="8"/>
        <v>0</v>
      </c>
      <c r="AL16" s="552">
        <f t="shared" si="8"/>
        <v>0</v>
      </c>
      <c r="AM16" s="552">
        <f t="shared" si="8"/>
        <v>0</v>
      </c>
      <c r="AN16" s="552">
        <f t="shared" si="8"/>
        <v>0</v>
      </c>
    </row>
    <row r="17" spans="1:41" ht="14.95" customHeight="1" x14ac:dyDescent="0.25">
      <c r="A17" s="806" t="s">
        <v>462</v>
      </c>
      <c r="B17" s="725"/>
      <c r="C17" s="725"/>
      <c r="D17" s="725"/>
      <c r="E17" s="725"/>
      <c r="F17" s="725"/>
      <c r="G17" s="725"/>
      <c r="H17" s="725"/>
      <c r="I17" s="725"/>
      <c r="J17" s="725"/>
      <c r="K17" s="725"/>
      <c r="L17" s="725"/>
      <c r="M17" s="725"/>
      <c r="N17" s="725"/>
      <c r="O17" s="725"/>
      <c r="P17" s="725"/>
      <c r="Q17" s="725"/>
      <c r="R17" s="725"/>
      <c r="S17" s="725"/>
      <c r="T17" s="725"/>
      <c r="U17" s="725"/>
      <c r="V17" s="725"/>
      <c r="W17" s="725"/>
      <c r="X17" s="725"/>
      <c r="Y17" s="725"/>
      <c r="Z17" s="725"/>
      <c r="AA17" s="725"/>
      <c r="AB17" s="725"/>
      <c r="AC17" s="725"/>
      <c r="AD17" s="725"/>
      <c r="AE17" s="725"/>
      <c r="AF17" s="725"/>
      <c r="AG17" s="725"/>
      <c r="AH17" s="725"/>
      <c r="AI17" s="725"/>
      <c r="AJ17" s="725"/>
      <c r="AK17" s="725"/>
      <c r="AL17" s="725"/>
      <c r="AM17" s="725"/>
      <c r="AN17" s="725"/>
      <c r="AO17" s="725"/>
    </row>
    <row r="18" spans="1:41" x14ac:dyDescent="0.25">
      <c r="A18" s="762" t="s">
        <v>367</v>
      </c>
      <c r="B18" s="725"/>
      <c r="C18" s="725"/>
      <c r="D18" s="725"/>
      <c r="E18" s="725"/>
      <c r="F18" s="725"/>
      <c r="G18" s="725"/>
      <c r="H18" s="725"/>
      <c r="I18" s="725"/>
      <c r="J18" s="725"/>
      <c r="K18" s="725"/>
      <c r="L18" s="725"/>
      <c r="M18" s="725"/>
      <c r="N18" s="725"/>
      <c r="O18" s="725"/>
      <c r="P18" s="725"/>
      <c r="Q18" s="725"/>
      <c r="R18" s="725"/>
      <c r="S18" s="725"/>
      <c r="T18" s="725"/>
      <c r="U18" s="725"/>
      <c r="V18" s="725"/>
      <c r="W18" s="725"/>
      <c r="X18" s="725"/>
      <c r="Y18" s="725"/>
      <c r="Z18" s="725"/>
      <c r="AA18" s="725"/>
      <c r="AB18" s="725"/>
      <c r="AC18" s="725"/>
      <c r="AD18" s="725"/>
      <c r="AE18" s="725"/>
      <c r="AF18" s="725"/>
      <c r="AG18" s="725"/>
      <c r="AH18" s="725"/>
      <c r="AI18" s="725"/>
      <c r="AJ18" s="725"/>
      <c r="AK18" s="725"/>
      <c r="AL18" s="725"/>
      <c r="AM18" s="725"/>
      <c r="AN18" s="725"/>
    </row>
    <row r="19" spans="1:41" x14ac:dyDescent="0.25">
      <c r="A19" s="572" t="s">
        <v>134</v>
      </c>
      <c r="F19" s="14"/>
    </row>
    <row r="20" spans="1:41" x14ac:dyDescent="0.25">
      <c r="A20" s="634" t="s">
        <v>416</v>
      </c>
    </row>
    <row r="21" spans="1:41" x14ac:dyDescent="0.25">
      <c r="A21" s="602" t="s">
        <v>202</v>
      </c>
    </row>
    <row r="22" spans="1:41" x14ac:dyDescent="0.25">
      <c r="A22" s="156"/>
      <c r="B22" t="s">
        <v>44</v>
      </c>
    </row>
    <row r="23" spans="1:41" x14ac:dyDescent="0.25">
      <c r="A23" s="154"/>
      <c r="B23" t="s">
        <v>42</v>
      </c>
    </row>
    <row r="24" spans="1:41" x14ac:dyDescent="0.25">
      <c r="A24" s="155"/>
      <c r="B24" t="s">
        <v>43</v>
      </c>
    </row>
    <row r="25" spans="1:41" x14ac:dyDescent="0.25">
      <c r="A25" s="15" t="s">
        <v>28</v>
      </c>
    </row>
  </sheetData>
  <mergeCells count="16">
    <mergeCell ref="A17:AO17"/>
    <mergeCell ref="A18:AN18"/>
    <mergeCell ref="AG1:AJ1"/>
    <mergeCell ref="AK1:AN1"/>
    <mergeCell ref="P1:R1"/>
    <mergeCell ref="H1:I1"/>
    <mergeCell ref="J1:M1"/>
    <mergeCell ref="N1:O1"/>
    <mergeCell ref="Y1:AB1"/>
    <mergeCell ref="AC1:AF1"/>
    <mergeCell ref="C13:E13"/>
    <mergeCell ref="C14:E14"/>
    <mergeCell ref="C15:E15"/>
    <mergeCell ref="C16:E16"/>
    <mergeCell ref="A1:C1"/>
    <mergeCell ref="E1:G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T21"/>
  <sheetViews>
    <sheetView zoomScaleNormal="100" workbookViewId="0">
      <selection activeCell="AO28" sqref="AO28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875" bestFit="1" customWidth="1"/>
    <col min="5" max="18" width="3.625" customWidth="1"/>
    <col min="19" max="20" width="6.375" customWidth="1"/>
    <col min="21" max="21" width="19.125" customWidth="1"/>
    <col min="22" max="22" width="20.5" bestFit="1" customWidth="1"/>
    <col min="23" max="24" width="20.375" bestFit="1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930" t="s">
        <v>378</v>
      </c>
      <c r="B1" s="931"/>
      <c r="C1" s="931"/>
      <c r="D1" s="160"/>
      <c r="E1" s="932" t="s">
        <v>24</v>
      </c>
      <c r="F1" s="933"/>
      <c r="G1" s="934"/>
      <c r="H1" s="932" t="s">
        <v>23</v>
      </c>
      <c r="I1" s="934"/>
      <c r="J1" s="935" t="s">
        <v>6</v>
      </c>
      <c r="K1" s="936"/>
      <c r="L1" s="936"/>
      <c r="M1" s="937"/>
      <c r="N1" s="935" t="s">
        <v>7</v>
      </c>
      <c r="O1" s="937"/>
      <c r="P1" s="935" t="s">
        <v>25</v>
      </c>
      <c r="Q1" s="936"/>
      <c r="R1" s="937"/>
      <c r="S1" s="565" t="s">
        <v>8</v>
      </c>
      <c r="T1" s="565" t="s">
        <v>9</v>
      </c>
      <c r="U1" s="68" t="s">
        <v>10</v>
      </c>
      <c r="V1" s="67" t="s">
        <v>11</v>
      </c>
      <c r="W1" s="69" t="s">
        <v>26</v>
      </c>
      <c r="X1" s="166" t="s">
        <v>27</v>
      </c>
      <c r="Y1" s="938" t="s">
        <v>20</v>
      </c>
      <c r="Z1" s="747"/>
      <c r="AA1" s="747"/>
      <c r="AB1" s="748"/>
      <c r="AC1" s="938" t="s">
        <v>61</v>
      </c>
      <c r="AD1" s="747"/>
      <c r="AE1" s="747"/>
      <c r="AF1" s="748"/>
      <c r="AG1" s="938" t="s">
        <v>62</v>
      </c>
      <c r="AH1" s="747"/>
      <c r="AI1" s="747"/>
      <c r="AJ1" s="748"/>
      <c r="AK1" s="938" t="s">
        <v>63</v>
      </c>
      <c r="AL1" s="747"/>
      <c r="AM1" s="747"/>
      <c r="AN1" s="748"/>
      <c r="AP1" s="540" t="s">
        <v>200</v>
      </c>
      <c r="AQ1" s="520"/>
      <c r="AR1" s="520"/>
      <c r="AS1" s="540" t="s">
        <v>200</v>
      </c>
    </row>
    <row r="2" spans="1:46" ht="14.95" customHeight="1" thickBot="1" x14ac:dyDescent="0.3">
      <c r="A2" s="70" t="s">
        <v>19</v>
      </c>
      <c r="B2" s="71" t="s">
        <v>18</v>
      </c>
      <c r="C2" s="72" t="s">
        <v>17</v>
      </c>
      <c r="D2" s="73" t="s">
        <v>41</v>
      </c>
      <c r="E2" s="73" t="s">
        <v>16</v>
      </c>
      <c r="F2" s="73" t="s">
        <v>4</v>
      </c>
      <c r="G2" s="73" t="s">
        <v>5</v>
      </c>
      <c r="H2" s="74" t="s">
        <v>12</v>
      </c>
      <c r="I2" s="74" t="s">
        <v>3</v>
      </c>
      <c r="J2" s="74" t="s">
        <v>12</v>
      </c>
      <c r="K2" s="74" t="s">
        <v>13</v>
      </c>
      <c r="L2" s="74" t="s">
        <v>2</v>
      </c>
      <c r="M2" s="74" t="s">
        <v>14</v>
      </c>
      <c r="N2" s="74" t="s">
        <v>15</v>
      </c>
      <c r="O2" s="74" t="s">
        <v>16</v>
      </c>
      <c r="P2" s="74" t="s">
        <v>21</v>
      </c>
      <c r="Q2" s="74" t="s">
        <v>22</v>
      </c>
      <c r="R2" s="74" t="s">
        <v>12</v>
      </c>
      <c r="S2" s="75"/>
      <c r="T2" s="76"/>
      <c r="U2" s="77"/>
      <c r="V2" s="75"/>
      <c r="W2" s="78"/>
      <c r="X2" s="79"/>
      <c r="Y2" s="433" t="s">
        <v>0</v>
      </c>
      <c r="Z2" s="433" t="s">
        <v>1</v>
      </c>
      <c r="AA2" s="433" t="s">
        <v>2</v>
      </c>
      <c r="AB2" s="433" t="s">
        <v>3</v>
      </c>
      <c r="AC2" s="433" t="s">
        <v>0</v>
      </c>
      <c r="AD2" s="433" t="s">
        <v>1</v>
      </c>
      <c r="AE2" s="433" t="s">
        <v>2</v>
      </c>
      <c r="AF2" s="433" t="s">
        <v>3</v>
      </c>
      <c r="AG2" s="433" t="s">
        <v>0</v>
      </c>
      <c r="AH2" s="433" t="s">
        <v>1</v>
      </c>
      <c r="AI2" s="433" t="s">
        <v>2</v>
      </c>
      <c r="AJ2" s="433" t="s">
        <v>3</v>
      </c>
      <c r="AK2" s="433" t="s">
        <v>0</v>
      </c>
      <c r="AL2" s="433" t="s">
        <v>1</v>
      </c>
      <c r="AM2" s="433" t="s">
        <v>2</v>
      </c>
      <c r="AN2" s="433" t="s">
        <v>3</v>
      </c>
      <c r="AP2" s="481" t="s">
        <v>108</v>
      </c>
      <c r="AQ2" s="249"/>
      <c r="AS2" s="482" t="s">
        <v>167</v>
      </c>
      <c r="AT2" s="249"/>
    </row>
    <row r="3" spans="1:46" ht="14.95" customHeight="1" thickBot="1" x14ac:dyDescent="0.35">
      <c r="A3" s="191"/>
      <c r="B3" s="210"/>
      <c r="C3" s="192"/>
      <c r="D3" s="226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205"/>
      <c r="T3" s="312"/>
      <c r="U3" s="206"/>
      <c r="V3" s="205"/>
      <c r="W3" s="194"/>
      <c r="X3" s="207"/>
      <c r="Y3" s="208"/>
      <c r="Z3" s="208"/>
      <c r="AA3" s="208"/>
      <c r="AB3" s="209"/>
      <c r="AC3" s="208"/>
      <c r="AD3" s="208"/>
      <c r="AE3" s="208"/>
      <c r="AF3" s="209"/>
      <c r="AG3" s="208"/>
      <c r="AH3" s="208"/>
      <c r="AI3" s="208"/>
      <c r="AJ3" s="209"/>
      <c r="AK3" s="208"/>
      <c r="AL3" s="208"/>
      <c r="AM3" s="208"/>
      <c r="AN3" s="209"/>
      <c r="AP3" s="501" t="s">
        <v>170</v>
      </c>
      <c r="AQ3" s="502">
        <f>Rsaalltestshistplayed</f>
        <v>503</v>
      </c>
      <c r="AS3" s="501" t="s">
        <v>170</v>
      </c>
      <c r="AT3" s="502">
        <f>RsaRWChistplayed</f>
        <v>43</v>
      </c>
    </row>
    <row r="4" spans="1:46" ht="14.95" customHeight="1" thickBot="1" x14ac:dyDescent="0.3">
      <c r="A4" s="183"/>
      <c r="B4" s="188"/>
      <c r="C4" s="174"/>
      <c r="D4" s="188"/>
      <c r="E4" s="175"/>
      <c r="F4" s="175"/>
      <c r="G4" s="189"/>
      <c r="H4" s="189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347"/>
      <c r="T4" s="348"/>
      <c r="U4" s="349"/>
      <c r="V4" s="347"/>
      <c r="W4" s="350"/>
      <c r="X4" s="351"/>
      <c r="Y4" s="178"/>
      <c r="Z4" s="178"/>
      <c r="AA4" s="178"/>
      <c r="AB4" s="182"/>
      <c r="AC4" s="178"/>
      <c r="AD4" s="178"/>
      <c r="AE4" s="178"/>
      <c r="AF4" s="182"/>
      <c r="AG4" s="178"/>
      <c r="AH4" s="178"/>
      <c r="AI4" s="178"/>
      <c r="AJ4" s="182"/>
      <c r="AK4" s="178"/>
      <c r="AL4" s="178"/>
      <c r="AM4" s="178"/>
      <c r="AN4" s="182"/>
      <c r="AP4" s="503" t="s">
        <v>171</v>
      </c>
      <c r="AQ4" s="504">
        <f>Rsaalltestshistwon</f>
        <v>315</v>
      </c>
      <c r="AS4" s="503" t="s">
        <v>171</v>
      </c>
      <c r="AT4" s="504">
        <f>RsaRWChistwon</f>
        <v>36</v>
      </c>
    </row>
    <row r="5" spans="1:46" ht="14.95" customHeight="1" thickBot="1" x14ac:dyDescent="0.35">
      <c r="A5" s="183"/>
      <c r="B5" s="188"/>
      <c r="C5" s="174"/>
      <c r="D5" s="188"/>
      <c r="E5" s="175"/>
      <c r="F5" s="175"/>
      <c r="G5" s="189"/>
      <c r="H5" s="189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8"/>
      <c r="T5" s="415"/>
      <c r="U5" s="190"/>
      <c r="V5" s="178"/>
      <c r="W5" s="178"/>
      <c r="X5" s="196"/>
      <c r="Y5" s="178"/>
      <c r="Z5" s="178"/>
      <c r="AA5" s="178"/>
      <c r="AB5" s="182"/>
      <c r="AC5" s="178"/>
      <c r="AD5" s="178"/>
      <c r="AE5" s="178"/>
      <c r="AF5" s="182"/>
      <c r="AG5" s="178"/>
      <c r="AH5" s="178"/>
      <c r="AI5" s="178"/>
      <c r="AJ5" s="182"/>
      <c r="AK5" s="178"/>
      <c r="AL5" s="178"/>
      <c r="AM5" s="178"/>
      <c r="AN5" s="182"/>
      <c r="AP5" s="503" t="s">
        <v>177</v>
      </c>
      <c r="AQ5" s="504">
        <f>Rsaalltestshistdrawn</f>
        <v>24</v>
      </c>
      <c r="AS5" s="503" t="s">
        <v>177</v>
      </c>
      <c r="AT5" s="504">
        <f>RsaRWChistdrawn</f>
        <v>0</v>
      </c>
    </row>
    <row r="6" spans="1:46" ht="14.95" customHeight="1" thickBot="1" x14ac:dyDescent="0.35">
      <c r="A6" s="191"/>
      <c r="B6" s="226"/>
      <c r="C6" s="192"/>
      <c r="D6" s="192"/>
      <c r="E6" s="193"/>
      <c r="F6" s="193"/>
      <c r="G6" s="227"/>
      <c r="H6" s="362"/>
      <c r="I6" s="227"/>
      <c r="J6" s="193"/>
      <c r="K6" s="193"/>
      <c r="L6" s="193"/>
      <c r="M6" s="193"/>
      <c r="N6" s="193"/>
      <c r="O6" s="193"/>
      <c r="P6" s="193"/>
      <c r="Q6" s="193"/>
      <c r="R6" s="193"/>
      <c r="S6" s="194"/>
      <c r="T6" s="363"/>
      <c r="U6" s="228"/>
      <c r="V6" s="194"/>
      <c r="W6" s="194"/>
      <c r="X6" s="195"/>
      <c r="Y6" s="194"/>
      <c r="Z6" s="194"/>
      <c r="AA6" s="194"/>
      <c r="AB6" s="229"/>
      <c r="AC6" s="194"/>
      <c r="AD6" s="194"/>
      <c r="AE6" s="194"/>
      <c r="AF6" s="229"/>
      <c r="AG6" s="194"/>
      <c r="AH6" s="194"/>
      <c r="AI6" s="194"/>
      <c r="AJ6" s="229"/>
      <c r="AK6" s="194"/>
      <c r="AL6" s="194"/>
      <c r="AM6" s="194"/>
      <c r="AN6" s="229"/>
      <c r="AP6" s="503" t="s">
        <v>172</v>
      </c>
      <c r="AQ6" s="504">
        <f>Rsaalltestshistlost</f>
        <v>164</v>
      </c>
      <c r="AS6" s="503" t="s">
        <v>172</v>
      </c>
      <c r="AT6" s="504">
        <f>RsaRWChistlost</f>
        <v>7</v>
      </c>
    </row>
    <row r="7" spans="1:46" ht="14.95" customHeight="1" thickBot="1" x14ac:dyDescent="0.35">
      <c r="A7" s="183"/>
      <c r="B7" s="188"/>
      <c r="C7" s="174"/>
      <c r="D7" s="174"/>
      <c r="E7" s="175"/>
      <c r="F7" s="175"/>
      <c r="G7" s="189"/>
      <c r="H7" s="189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8"/>
      <c r="T7" s="415"/>
      <c r="U7" s="190"/>
      <c r="V7" s="178"/>
      <c r="W7" s="178"/>
      <c r="X7" s="196"/>
      <c r="Y7" s="178"/>
      <c r="Z7" s="178"/>
      <c r="AA7" s="178"/>
      <c r="AB7" s="182"/>
      <c r="AC7" s="178"/>
      <c r="AD7" s="178"/>
      <c r="AE7" s="178"/>
      <c r="AF7" s="182"/>
      <c r="AG7" s="178"/>
      <c r="AH7" s="178"/>
      <c r="AI7" s="178"/>
      <c r="AJ7" s="182"/>
      <c r="AK7" s="178"/>
      <c r="AL7" s="178"/>
      <c r="AM7" s="178"/>
      <c r="AN7" s="182"/>
      <c r="AP7" s="503" t="s">
        <v>178</v>
      </c>
      <c r="AQ7" s="504">
        <f>Rsaalltestshistptsscored</f>
        <v>11815</v>
      </c>
      <c r="AS7" s="503" t="s">
        <v>178</v>
      </c>
      <c r="AT7" s="504">
        <f>RsaRWChistptsscored</f>
        <v>1512</v>
      </c>
    </row>
    <row r="8" spans="1:46" ht="14.95" customHeight="1" thickBot="1" x14ac:dyDescent="0.3">
      <c r="A8" s="184"/>
      <c r="B8" s="421"/>
      <c r="C8" s="185"/>
      <c r="D8" s="421"/>
      <c r="E8" s="186"/>
      <c r="F8" s="186"/>
      <c r="G8" s="422"/>
      <c r="H8" s="422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7"/>
      <c r="T8" s="562"/>
      <c r="U8" s="187"/>
      <c r="V8" s="187"/>
      <c r="W8" s="187"/>
      <c r="X8" s="423"/>
      <c r="Y8" s="187"/>
      <c r="Z8" s="187"/>
      <c r="AA8" s="187"/>
      <c r="AB8" s="424"/>
      <c r="AC8" s="187"/>
      <c r="AD8" s="187"/>
      <c r="AE8" s="187"/>
      <c r="AF8" s="424"/>
      <c r="AG8" s="187"/>
      <c r="AH8" s="187"/>
      <c r="AI8" s="187"/>
      <c r="AJ8" s="424"/>
      <c r="AK8" s="187"/>
      <c r="AL8" s="187"/>
      <c r="AM8" s="187"/>
      <c r="AN8" s="424"/>
      <c r="AP8" s="503" t="s">
        <v>179</v>
      </c>
      <c r="AQ8" s="504">
        <f>Rsaalltestshistptscon</f>
        <v>8132</v>
      </c>
      <c r="AS8" s="503" t="s">
        <v>179</v>
      </c>
      <c r="AT8" s="504">
        <f>RsaRWChistptscon</f>
        <v>553</v>
      </c>
    </row>
    <row r="9" spans="1:46" ht="14.95" customHeight="1" thickBot="1" x14ac:dyDescent="0.3">
      <c r="A9" s="473"/>
      <c r="B9" s="440"/>
      <c r="C9" s="440"/>
      <c r="D9" s="440"/>
      <c r="E9" s="186"/>
      <c r="F9" s="186"/>
      <c r="G9" s="422"/>
      <c r="H9" s="422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99"/>
      <c r="T9" s="568"/>
      <c r="U9" s="200"/>
      <c r="V9" s="199"/>
      <c r="W9" s="187"/>
      <c r="X9" s="201"/>
      <c r="Y9" s="187"/>
      <c r="Z9" s="187"/>
      <c r="AA9" s="187"/>
      <c r="AB9" s="424"/>
      <c r="AC9" s="187"/>
      <c r="AD9" s="187"/>
      <c r="AE9" s="187"/>
      <c r="AF9" s="424"/>
      <c r="AG9" s="187"/>
      <c r="AH9" s="187"/>
      <c r="AI9" s="187"/>
      <c r="AJ9" s="424"/>
      <c r="AK9" s="187"/>
      <c r="AL9" s="187"/>
      <c r="AM9" s="187"/>
      <c r="AN9" s="424"/>
      <c r="AP9" s="503" t="s">
        <v>169</v>
      </c>
      <c r="AQ9" s="504">
        <f>Rsaalltestshisttriesscored</f>
        <v>1428</v>
      </c>
      <c r="AS9" s="503" t="s">
        <v>169</v>
      </c>
      <c r="AT9" s="504">
        <f>RsaRWChisttriesscored</f>
        <v>174</v>
      </c>
    </row>
    <row r="10" spans="1:46" ht="14.95" thickBot="1" x14ac:dyDescent="0.3">
      <c r="A10" s="387"/>
      <c r="B10" s="388"/>
      <c r="C10" s="743" t="s">
        <v>58</v>
      </c>
      <c r="D10" s="744"/>
      <c r="E10" s="745"/>
      <c r="F10" s="414">
        <f t="shared" ref="F10:R10" si="0">SUM(F3:F5)</f>
        <v>0</v>
      </c>
      <c r="G10" s="414">
        <f t="shared" si="0"/>
        <v>0</v>
      </c>
      <c r="H10" s="414">
        <f t="shared" si="0"/>
        <v>0</v>
      </c>
      <c r="I10" s="414">
        <f t="shared" si="0"/>
        <v>0</v>
      </c>
      <c r="J10" s="414">
        <f t="shared" si="0"/>
        <v>0</v>
      </c>
      <c r="K10" s="414">
        <f t="shared" si="0"/>
        <v>0</v>
      </c>
      <c r="L10" s="414">
        <f t="shared" si="0"/>
        <v>0</v>
      </c>
      <c r="M10" s="414">
        <f t="shared" si="0"/>
        <v>0</v>
      </c>
      <c r="N10" s="414">
        <f t="shared" si="0"/>
        <v>0</v>
      </c>
      <c r="O10" s="414">
        <f t="shared" si="0"/>
        <v>0</v>
      </c>
      <c r="P10" s="414">
        <f t="shared" si="0"/>
        <v>0</v>
      </c>
      <c r="Q10" s="414">
        <f t="shared" si="0"/>
        <v>0</v>
      </c>
      <c r="R10" s="414">
        <f t="shared" si="0"/>
        <v>0</v>
      </c>
      <c r="S10" s="410"/>
      <c r="T10" s="410"/>
      <c r="U10" s="410"/>
      <c r="V10" s="410"/>
      <c r="W10" s="411"/>
      <c r="X10" s="594" t="s">
        <v>58</v>
      </c>
      <c r="Y10" s="414">
        <f t="shared" ref="Y10:AN10" si="1">SUM(Y3:Y5)</f>
        <v>0</v>
      </c>
      <c r="Z10" s="414">
        <f t="shared" si="1"/>
        <v>0</v>
      </c>
      <c r="AA10" s="414">
        <f t="shared" si="1"/>
        <v>0</v>
      </c>
      <c r="AB10" s="414">
        <f t="shared" si="1"/>
        <v>0</v>
      </c>
      <c r="AC10" s="412">
        <f t="shared" si="1"/>
        <v>0</v>
      </c>
      <c r="AD10" s="412">
        <f t="shared" si="1"/>
        <v>0</v>
      </c>
      <c r="AE10" s="412">
        <f t="shared" si="1"/>
        <v>0</v>
      </c>
      <c r="AF10" s="412">
        <f t="shared" si="1"/>
        <v>0</v>
      </c>
      <c r="AG10" s="413">
        <f t="shared" si="1"/>
        <v>0</v>
      </c>
      <c r="AH10" s="413">
        <f t="shared" si="1"/>
        <v>0</v>
      </c>
      <c r="AI10" s="413">
        <f t="shared" si="1"/>
        <v>0</v>
      </c>
      <c r="AJ10" s="413">
        <f t="shared" si="1"/>
        <v>0</v>
      </c>
      <c r="AK10" s="414">
        <f t="shared" si="1"/>
        <v>0</v>
      </c>
      <c r="AL10" s="414">
        <f t="shared" si="1"/>
        <v>0</v>
      </c>
      <c r="AM10" s="414">
        <f t="shared" si="1"/>
        <v>0</v>
      </c>
      <c r="AN10" s="414">
        <f t="shared" si="1"/>
        <v>0</v>
      </c>
    </row>
    <row r="11" spans="1:46" ht="14.95" thickBot="1" x14ac:dyDescent="0.3">
      <c r="A11" s="387"/>
      <c r="B11" s="388"/>
      <c r="C11" s="732" t="s">
        <v>108</v>
      </c>
      <c r="D11" s="733"/>
      <c r="E11" s="734"/>
      <c r="F11" s="552">
        <f t="shared" ref="F11:R11" si="2">SUM(F3:F9)</f>
        <v>0</v>
      </c>
      <c r="G11" s="552">
        <f t="shared" si="2"/>
        <v>0</v>
      </c>
      <c r="H11" s="552">
        <f t="shared" si="2"/>
        <v>0</v>
      </c>
      <c r="I11" s="552">
        <f t="shared" si="2"/>
        <v>0</v>
      </c>
      <c r="J11" s="552">
        <f t="shared" si="2"/>
        <v>0</v>
      </c>
      <c r="K11" s="552">
        <f t="shared" si="2"/>
        <v>0</v>
      </c>
      <c r="L11" s="552">
        <f t="shared" si="2"/>
        <v>0</v>
      </c>
      <c r="M11" s="552">
        <f t="shared" si="2"/>
        <v>0</v>
      </c>
      <c r="N11" s="552">
        <f t="shared" si="2"/>
        <v>0</v>
      </c>
      <c r="O11" s="552">
        <f t="shared" si="2"/>
        <v>0</v>
      </c>
      <c r="P11" s="552">
        <f t="shared" si="2"/>
        <v>0</v>
      </c>
      <c r="Q11" s="552">
        <f t="shared" si="2"/>
        <v>0</v>
      </c>
      <c r="R11" s="552">
        <f t="shared" si="2"/>
        <v>0</v>
      </c>
      <c r="S11" s="548"/>
      <c r="T11" s="548"/>
      <c r="U11" s="548"/>
      <c r="V11" s="548"/>
      <c r="W11" s="13"/>
      <c r="X11" s="596" t="s">
        <v>108</v>
      </c>
      <c r="Y11" s="552">
        <f t="shared" ref="Y11:AN11" si="3">SUM(Y3:Y9)</f>
        <v>0</v>
      </c>
      <c r="Z11" s="552">
        <f t="shared" si="3"/>
        <v>0</v>
      </c>
      <c r="AA11" s="552">
        <f t="shared" si="3"/>
        <v>0</v>
      </c>
      <c r="AB11" s="552">
        <f t="shared" si="3"/>
        <v>0</v>
      </c>
      <c r="AC11" s="550">
        <f t="shared" si="3"/>
        <v>0</v>
      </c>
      <c r="AD11" s="550">
        <f t="shared" si="3"/>
        <v>0</v>
      </c>
      <c r="AE11" s="550">
        <f t="shared" si="3"/>
        <v>0</v>
      </c>
      <c r="AF11" s="550">
        <f t="shared" si="3"/>
        <v>0</v>
      </c>
      <c r="AG11" s="551">
        <f t="shared" si="3"/>
        <v>0</v>
      </c>
      <c r="AH11" s="551">
        <f t="shared" si="3"/>
        <v>0</v>
      </c>
      <c r="AI11" s="551">
        <f t="shared" si="3"/>
        <v>0</v>
      </c>
      <c r="AJ11" s="551">
        <f t="shared" si="3"/>
        <v>0</v>
      </c>
      <c r="AK11" s="552">
        <f t="shared" si="3"/>
        <v>0</v>
      </c>
      <c r="AL11" s="552">
        <f t="shared" si="3"/>
        <v>0</v>
      </c>
      <c r="AM11" s="552">
        <f t="shared" si="3"/>
        <v>0</v>
      </c>
      <c r="AN11" s="552">
        <f t="shared" si="3"/>
        <v>0</v>
      </c>
    </row>
    <row r="12" spans="1:46" x14ac:dyDescent="0.25">
      <c r="A12" s="871" t="s">
        <v>501</v>
      </c>
      <c r="B12" s="872"/>
      <c r="C12" s="872"/>
      <c r="D12" s="872"/>
      <c r="E12" s="872"/>
      <c r="F12" s="872"/>
      <c r="G12" s="872"/>
      <c r="H12" s="872"/>
      <c r="I12" s="872"/>
      <c r="J12" s="872"/>
      <c r="K12" s="872"/>
      <c r="L12" s="872"/>
      <c r="M12" s="872"/>
      <c r="N12" s="872"/>
      <c r="O12" s="872"/>
      <c r="P12" s="872"/>
      <c r="Q12" s="872"/>
      <c r="R12" s="872"/>
      <c r="S12" s="872"/>
      <c r="T12" s="872"/>
      <c r="U12" s="872"/>
      <c r="V12" s="872"/>
      <c r="W12" s="872"/>
      <c r="X12" s="872"/>
      <c r="Y12" s="872"/>
      <c r="Z12" s="872"/>
      <c r="AA12" s="872"/>
      <c r="AB12" s="872"/>
      <c r="AC12" s="872"/>
      <c r="AD12" s="872"/>
      <c r="AE12" s="872"/>
      <c r="AF12" s="872"/>
      <c r="AG12" s="872"/>
      <c r="AH12" s="872"/>
      <c r="AI12" s="872"/>
      <c r="AJ12" s="872"/>
      <c r="AK12" s="872"/>
      <c r="AL12" s="872"/>
      <c r="AM12" s="872"/>
      <c r="AN12" s="872"/>
    </row>
    <row r="13" spans="1:46" x14ac:dyDescent="0.25">
      <c r="A13" s="762"/>
      <c r="B13" s="725"/>
      <c r="C13" s="725"/>
      <c r="D13" s="725"/>
      <c r="E13" s="725"/>
      <c r="F13" s="725"/>
      <c r="G13" s="725"/>
      <c r="H13" s="725"/>
      <c r="I13" s="725"/>
      <c r="J13" s="725"/>
      <c r="K13" s="725"/>
      <c r="L13" s="725"/>
      <c r="M13" s="725"/>
      <c r="N13" s="725"/>
      <c r="O13" s="725"/>
      <c r="P13" s="725"/>
      <c r="Q13" s="725"/>
      <c r="R13" s="725"/>
    </row>
    <row r="14" spans="1:46" x14ac:dyDescent="0.25">
      <c r="A14" s="544"/>
      <c r="F14" s="14"/>
      <c r="G14" s="14"/>
      <c r="H14" s="13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46" x14ac:dyDescent="0.25">
      <c r="A15" s="539"/>
      <c r="F15" s="14"/>
      <c r="G15" s="14"/>
      <c r="H15" s="13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46" x14ac:dyDescent="0.25">
      <c r="F16" s="14"/>
      <c r="G16" s="14"/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x14ac:dyDescent="0.25">
      <c r="F17" s="14"/>
      <c r="G17" s="14"/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25">
      <c r="A18" s="156"/>
      <c r="B18" t="s">
        <v>44</v>
      </c>
    </row>
    <row r="19" spans="1:18" x14ac:dyDescent="0.25">
      <c r="A19" s="154"/>
      <c r="B19" t="s">
        <v>42</v>
      </c>
    </row>
    <row r="20" spans="1:18" x14ac:dyDescent="0.25">
      <c r="A20" s="155"/>
      <c r="B20" t="s">
        <v>43</v>
      </c>
    </row>
    <row r="21" spans="1:18" x14ac:dyDescent="0.25">
      <c r="A21" s="15" t="s">
        <v>28</v>
      </c>
    </row>
  </sheetData>
  <mergeCells count="14">
    <mergeCell ref="A13:R13"/>
    <mergeCell ref="A1:C1"/>
    <mergeCell ref="E1:G1"/>
    <mergeCell ref="H1:I1"/>
    <mergeCell ref="J1:M1"/>
    <mergeCell ref="N1:O1"/>
    <mergeCell ref="C10:E10"/>
    <mergeCell ref="C11:E11"/>
    <mergeCell ref="A12:AN12"/>
    <mergeCell ref="AC1:AF1"/>
    <mergeCell ref="AG1:AJ1"/>
    <mergeCell ref="AK1:AN1"/>
    <mergeCell ref="P1:R1"/>
    <mergeCell ref="Y1:AB1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T16"/>
  <sheetViews>
    <sheetView workbookViewId="0">
      <selection activeCell="AO24" sqref="AO24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375" customWidth="1"/>
    <col min="5" max="18" width="3.625" customWidth="1"/>
    <col min="19" max="20" width="6.375" customWidth="1"/>
    <col min="21" max="22" width="19.125" customWidth="1"/>
    <col min="23" max="23" width="21.125" customWidth="1"/>
    <col min="24" max="24" width="24" bestFit="1" customWidth="1"/>
    <col min="25" max="28" width="4.375" customWidth="1"/>
    <col min="29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942" t="s">
        <v>380</v>
      </c>
      <c r="B1" s="943"/>
      <c r="C1" s="943"/>
      <c r="D1" s="163"/>
      <c r="E1" s="944" t="s">
        <v>24</v>
      </c>
      <c r="F1" s="945"/>
      <c r="G1" s="946"/>
      <c r="H1" s="944" t="s">
        <v>23</v>
      </c>
      <c r="I1" s="946"/>
      <c r="J1" s="939" t="s">
        <v>6</v>
      </c>
      <c r="K1" s="940"/>
      <c r="L1" s="940"/>
      <c r="M1" s="941"/>
      <c r="N1" s="939" t="s">
        <v>7</v>
      </c>
      <c r="O1" s="941"/>
      <c r="P1" s="939" t="s">
        <v>25</v>
      </c>
      <c r="Q1" s="940"/>
      <c r="R1" s="941"/>
      <c r="S1" s="564" t="s">
        <v>8</v>
      </c>
      <c r="T1" s="564" t="s">
        <v>9</v>
      </c>
      <c r="U1" s="1" t="s">
        <v>10</v>
      </c>
      <c r="V1" s="6" t="s">
        <v>11</v>
      </c>
      <c r="W1" s="52" t="s">
        <v>26</v>
      </c>
      <c r="X1" s="164" t="s">
        <v>27</v>
      </c>
      <c r="Y1" s="947" t="s">
        <v>20</v>
      </c>
      <c r="Z1" s="948"/>
      <c r="AA1" s="948"/>
      <c r="AB1" s="949"/>
      <c r="AC1" s="947" t="s">
        <v>61</v>
      </c>
      <c r="AD1" s="948"/>
      <c r="AE1" s="948"/>
      <c r="AF1" s="949"/>
      <c r="AG1" s="947" t="s">
        <v>62</v>
      </c>
      <c r="AH1" s="948"/>
      <c r="AI1" s="948"/>
      <c r="AJ1" s="949"/>
      <c r="AK1" s="947" t="s">
        <v>63</v>
      </c>
      <c r="AL1" s="948"/>
      <c r="AM1" s="948"/>
      <c r="AN1" s="949"/>
      <c r="AP1" s="543" t="s">
        <v>201</v>
      </c>
      <c r="AQ1" s="520"/>
      <c r="AR1" s="520"/>
      <c r="AS1" s="543" t="s">
        <v>201</v>
      </c>
    </row>
    <row r="2" spans="1:46" ht="14.95" customHeight="1" thickBot="1" x14ac:dyDescent="0.3">
      <c r="A2" s="7" t="s">
        <v>19</v>
      </c>
      <c r="B2" s="8" t="s">
        <v>18</v>
      </c>
      <c r="C2" s="9" t="s">
        <v>17</v>
      </c>
      <c r="D2" s="10" t="s">
        <v>41</v>
      </c>
      <c r="E2" s="10" t="s">
        <v>16</v>
      </c>
      <c r="F2" s="10" t="s">
        <v>4</v>
      </c>
      <c r="G2" s="10" t="s">
        <v>5</v>
      </c>
      <c r="H2" s="11" t="s">
        <v>12</v>
      </c>
      <c r="I2" s="11" t="s">
        <v>3</v>
      </c>
      <c r="J2" s="11" t="s">
        <v>12</v>
      </c>
      <c r="K2" s="11" t="s">
        <v>13</v>
      </c>
      <c r="L2" s="11" t="s">
        <v>2</v>
      </c>
      <c r="M2" s="11" t="s">
        <v>14</v>
      </c>
      <c r="N2" s="11" t="s">
        <v>15</v>
      </c>
      <c r="O2" s="11" t="s">
        <v>16</v>
      </c>
      <c r="P2" s="11" t="s">
        <v>21</v>
      </c>
      <c r="Q2" s="11" t="s">
        <v>22</v>
      </c>
      <c r="R2" s="11" t="s">
        <v>12</v>
      </c>
      <c r="S2" s="2"/>
      <c r="T2" s="3"/>
      <c r="U2" s="4"/>
      <c r="V2" s="2"/>
      <c r="W2" s="53"/>
      <c r="X2" s="5"/>
      <c r="Y2" s="445" t="s">
        <v>0</v>
      </c>
      <c r="Z2" s="445" t="s">
        <v>1</v>
      </c>
      <c r="AA2" s="445" t="s">
        <v>2</v>
      </c>
      <c r="AB2" s="445" t="s">
        <v>3</v>
      </c>
      <c r="AC2" s="445" t="s">
        <v>0</v>
      </c>
      <c r="AD2" s="445" t="s">
        <v>1</v>
      </c>
      <c r="AE2" s="445" t="s">
        <v>2</v>
      </c>
      <c r="AF2" s="445" t="s">
        <v>3</v>
      </c>
      <c r="AG2" s="445" t="s">
        <v>0</v>
      </c>
      <c r="AH2" s="445" t="s">
        <v>1</v>
      </c>
      <c r="AI2" s="445" t="s">
        <v>2</v>
      </c>
      <c r="AJ2" s="445" t="s">
        <v>3</v>
      </c>
      <c r="AK2" s="445" t="s">
        <v>0</v>
      </c>
      <c r="AL2" s="445" t="s">
        <v>1</v>
      </c>
      <c r="AM2" s="445" t="s">
        <v>2</v>
      </c>
      <c r="AN2" s="445" t="s">
        <v>3</v>
      </c>
      <c r="AP2" s="481" t="s">
        <v>108</v>
      </c>
      <c r="AQ2" s="249"/>
      <c r="AS2" s="482" t="s">
        <v>167</v>
      </c>
      <c r="AT2" s="249"/>
    </row>
    <row r="3" spans="1:46" ht="14.95" customHeight="1" thickBot="1" x14ac:dyDescent="0.35">
      <c r="A3" s="183"/>
      <c r="B3" s="174"/>
      <c r="C3" s="174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6"/>
      <c r="T3" s="409"/>
      <c r="U3" s="177"/>
      <c r="V3" s="176"/>
      <c r="W3" s="178"/>
      <c r="X3" s="179"/>
      <c r="Y3" s="180"/>
      <c r="Z3" s="180"/>
      <c r="AA3" s="180"/>
      <c r="AB3" s="18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P3" s="501" t="s">
        <v>170</v>
      </c>
      <c r="AQ3" s="502">
        <f>Tongaalltestshistplayed</f>
        <v>284</v>
      </c>
      <c r="AS3" s="501" t="s">
        <v>170</v>
      </c>
      <c r="AT3" s="502">
        <f>TongaRWChistplayed</f>
        <v>29</v>
      </c>
    </row>
    <row r="4" spans="1:46" ht="14.95" customHeight="1" thickBot="1" x14ac:dyDescent="0.3">
      <c r="A4" s="183"/>
      <c r="B4" s="174"/>
      <c r="C4" s="174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6"/>
      <c r="T4" s="219"/>
      <c r="U4" s="177"/>
      <c r="V4" s="176"/>
      <c r="W4" s="178"/>
      <c r="X4" s="179"/>
      <c r="Y4" s="180"/>
      <c r="Z4" s="180"/>
      <c r="AA4" s="180"/>
      <c r="AB4" s="181"/>
      <c r="AC4" s="360"/>
      <c r="AD4" s="360"/>
      <c r="AE4" s="360"/>
      <c r="AF4" s="360"/>
      <c r="AG4" s="360"/>
      <c r="AH4" s="360"/>
      <c r="AI4" s="360"/>
      <c r="AJ4" s="360"/>
      <c r="AK4" s="360"/>
      <c r="AL4" s="360"/>
      <c r="AM4" s="360"/>
      <c r="AN4" s="360"/>
      <c r="AP4" s="503" t="s">
        <v>171</v>
      </c>
      <c r="AQ4" s="504">
        <f>Tongaalltestshistwon</f>
        <v>108</v>
      </c>
      <c r="AS4" s="503" t="s">
        <v>171</v>
      </c>
      <c r="AT4" s="504">
        <f>TongaRWChistwon</f>
        <v>8</v>
      </c>
    </row>
    <row r="5" spans="1:46" ht="14.95" customHeight="1" thickBot="1" x14ac:dyDescent="0.35">
      <c r="A5" s="184"/>
      <c r="B5" s="185"/>
      <c r="C5" s="185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99"/>
      <c r="T5" s="361"/>
      <c r="U5" s="200"/>
      <c r="V5" s="199"/>
      <c r="W5" s="187"/>
      <c r="X5" s="201"/>
      <c r="Y5" s="202"/>
      <c r="Z5" s="202"/>
      <c r="AA5" s="202"/>
      <c r="AB5" s="203"/>
      <c r="AC5" s="335"/>
      <c r="AD5" s="335"/>
      <c r="AE5" s="335"/>
      <c r="AF5" s="335"/>
      <c r="AG5" s="335"/>
      <c r="AH5" s="335"/>
      <c r="AI5" s="335"/>
      <c r="AJ5" s="335"/>
      <c r="AK5" s="335"/>
      <c r="AL5" s="335"/>
      <c r="AM5" s="335"/>
      <c r="AN5" s="335"/>
      <c r="AP5" s="503" t="s">
        <v>177</v>
      </c>
      <c r="AQ5" s="504">
        <f>Tongaalltestshistdrawn</f>
        <v>7</v>
      </c>
      <c r="AS5" s="503" t="s">
        <v>177</v>
      </c>
      <c r="AT5" s="504">
        <f>TongaRWChistdrawn</f>
        <v>0</v>
      </c>
    </row>
    <row r="6" spans="1:46" ht="14.95" thickBot="1" x14ac:dyDescent="0.3">
      <c r="A6" s="387"/>
      <c r="B6" s="388"/>
      <c r="C6" s="950" t="s">
        <v>184</v>
      </c>
      <c r="D6" s="951"/>
      <c r="E6" s="952"/>
      <c r="F6" s="625">
        <f t="shared" ref="F6:R6" si="0">SUM(F3:F5)</f>
        <v>0</v>
      </c>
      <c r="G6" s="625">
        <f t="shared" si="0"/>
        <v>0</v>
      </c>
      <c r="H6" s="625">
        <f t="shared" si="0"/>
        <v>0</v>
      </c>
      <c r="I6" s="625">
        <f t="shared" si="0"/>
        <v>0</v>
      </c>
      <c r="J6" s="625">
        <f t="shared" si="0"/>
        <v>0</v>
      </c>
      <c r="K6" s="625">
        <f t="shared" si="0"/>
        <v>0</v>
      </c>
      <c r="L6" s="625">
        <f t="shared" si="0"/>
        <v>0</v>
      </c>
      <c r="M6" s="625">
        <f t="shared" si="0"/>
        <v>0</v>
      </c>
      <c r="N6" s="625">
        <f t="shared" si="0"/>
        <v>0</v>
      </c>
      <c r="O6" s="625">
        <f t="shared" si="0"/>
        <v>0</v>
      </c>
      <c r="P6" s="625">
        <f t="shared" si="0"/>
        <v>0</v>
      </c>
      <c r="Q6" s="625">
        <f t="shared" si="0"/>
        <v>0</v>
      </c>
      <c r="R6" s="625">
        <f t="shared" si="0"/>
        <v>0</v>
      </c>
      <c r="S6" s="390"/>
      <c r="T6" s="390"/>
      <c r="U6" s="390"/>
      <c r="V6" s="390"/>
      <c r="W6" s="391"/>
      <c r="X6" s="542" t="s">
        <v>184</v>
      </c>
      <c r="Y6" s="541">
        <f t="shared" ref="Y6:AN6" si="1">SUM(Y3:Y5)</f>
        <v>0</v>
      </c>
      <c r="Z6" s="541">
        <f t="shared" si="1"/>
        <v>0</v>
      </c>
      <c r="AA6" s="533">
        <f t="shared" si="1"/>
        <v>0</v>
      </c>
      <c r="AB6" s="533">
        <f t="shared" si="1"/>
        <v>0</v>
      </c>
      <c r="AC6" s="534">
        <f t="shared" si="1"/>
        <v>0</v>
      </c>
      <c r="AD6" s="534">
        <f t="shared" si="1"/>
        <v>0</v>
      </c>
      <c r="AE6" s="534">
        <f t="shared" si="1"/>
        <v>0</v>
      </c>
      <c r="AF6" s="534">
        <f t="shared" si="1"/>
        <v>0</v>
      </c>
      <c r="AG6" s="535">
        <f t="shared" si="1"/>
        <v>0</v>
      </c>
      <c r="AH6" s="535">
        <f t="shared" si="1"/>
        <v>0</v>
      </c>
      <c r="AI6" s="535">
        <f t="shared" si="1"/>
        <v>0</v>
      </c>
      <c r="AJ6" s="535">
        <f t="shared" si="1"/>
        <v>0</v>
      </c>
      <c r="AK6" s="536">
        <f t="shared" si="1"/>
        <v>0</v>
      </c>
      <c r="AL6" s="536">
        <f t="shared" si="1"/>
        <v>0</v>
      </c>
      <c r="AM6" s="536">
        <f t="shared" si="1"/>
        <v>0</v>
      </c>
      <c r="AN6" s="536">
        <f t="shared" si="1"/>
        <v>0</v>
      </c>
      <c r="AP6" s="503" t="s">
        <v>172</v>
      </c>
      <c r="AQ6" s="504">
        <f>Tongaalltestshistlost</f>
        <v>169</v>
      </c>
      <c r="AS6" s="503" t="s">
        <v>172</v>
      </c>
      <c r="AT6" s="504">
        <f>TongaRWChistlost</f>
        <v>21</v>
      </c>
    </row>
    <row r="7" spans="1:46" ht="14.95" customHeight="1" thickBot="1" x14ac:dyDescent="0.3">
      <c r="A7" s="387"/>
      <c r="B7" s="388"/>
      <c r="C7" s="732" t="s">
        <v>108</v>
      </c>
      <c r="D7" s="733"/>
      <c r="E7" s="734"/>
      <c r="F7" s="552">
        <f t="shared" ref="F7:R7" si="2">SUM(F3:F5)</f>
        <v>0</v>
      </c>
      <c r="G7" s="552">
        <f t="shared" si="2"/>
        <v>0</v>
      </c>
      <c r="H7" s="552">
        <f t="shared" si="2"/>
        <v>0</v>
      </c>
      <c r="I7" s="552">
        <f t="shared" si="2"/>
        <v>0</v>
      </c>
      <c r="J7" s="552">
        <f t="shared" si="2"/>
        <v>0</v>
      </c>
      <c r="K7" s="552">
        <f t="shared" si="2"/>
        <v>0</v>
      </c>
      <c r="L7" s="552">
        <f t="shared" si="2"/>
        <v>0</v>
      </c>
      <c r="M7" s="552">
        <f t="shared" si="2"/>
        <v>0</v>
      </c>
      <c r="N7" s="552">
        <f t="shared" si="2"/>
        <v>0</v>
      </c>
      <c r="O7" s="552">
        <f t="shared" si="2"/>
        <v>0</v>
      </c>
      <c r="P7" s="552">
        <f t="shared" si="2"/>
        <v>0</v>
      </c>
      <c r="Q7" s="552">
        <f t="shared" si="2"/>
        <v>0</v>
      </c>
      <c r="R7" s="552">
        <f t="shared" si="2"/>
        <v>0</v>
      </c>
      <c r="S7" s="548"/>
      <c r="T7" s="548"/>
      <c r="U7" s="548"/>
      <c r="V7" s="548"/>
      <c r="W7" s="13"/>
      <c r="X7" s="549" t="s">
        <v>108</v>
      </c>
      <c r="Y7" s="547">
        <f t="shared" ref="Y7:AN7" si="3">SUM(Y3:Y5)</f>
        <v>0</v>
      </c>
      <c r="Z7" s="547">
        <f t="shared" si="3"/>
        <v>0</v>
      </c>
      <c r="AA7" s="547">
        <f t="shared" si="3"/>
        <v>0</v>
      </c>
      <c r="AB7" s="547">
        <f t="shared" si="3"/>
        <v>0</v>
      </c>
      <c r="AC7" s="550">
        <f t="shared" si="3"/>
        <v>0</v>
      </c>
      <c r="AD7" s="550">
        <f t="shared" si="3"/>
        <v>0</v>
      </c>
      <c r="AE7" s="550">
        <f t="shared" si="3"/>
        <v>0</v>
      </c>
      <c r="AF7" s="550">
        <f t="shared" si="3"/>
        <v>0</v>
      </c>
      <c r="AG7" s="551">
        <f t="shared" si="3"/>
        <v>0</v>
      </c>
      <c r="AH7" s="551">
        <f t="shared" si="3"/>
        <v>0</v>
      </c>
      <c r="AI7" s="551">
        <f t="shared" si="3"/>
        <v>0</v>
      </c>
      <c r="AJ7" s="551">
        <f t="shared" si="3"/>
        <v>0</v>
      </c>
      <c r="AK7" s="552">
        <f t="shared" si="3"/>
        <v>0</v>
      </c>
      <c r="AL7" s="552">
        <f t="shared" si="3"/>
        <v>0</v>
      </c>
      <c r="AM7" s="552">
        <f t="shared" si="3"/>
        <v>0</v>
      </c>
      <c r="AN7" s="552">
        <f t="shared" si="3"/>
        <v>0</v>
      </c>
      <c r="AP7" s="503" t="s">
        <v>178</v>
      </c>
      <c r="AQ7" s="504">
        <f>Tongaalltestshistptsscored</f>
        <v>5160</v>
      </c>
      <c r="AS7" s="503" t="s">
        <v>178</v>
      </c>
      <c r="AT7" s="504">
        <f>TongaRWChistptsscored</f>
        <v>472</v>
      </c>
    </row>
    <row r="8" spans="1:46" ht="14.95" customHeight="1" thickBot="1" x14ac:dyDescent="0.3">
      <c r="A8" s="871" t="s">
        <v>501</v>
      </c>
      <c r="B8" s="872"/>
      <c r="C8" s="872"/>
      <c r="D8" s="872"/>
      <c r="E8" s="872"/>
      <c r="F8" s="872"/>
      <c r="G8" s="872"/>
      <c r="H8" s="872"/>
      <c r="I8" s="872"/>
      <c r="J8" s="872"/>
      <c r="K8" s="872"/>
      <c r="L8" s="872"/>
      <c r="M8" s="872"/>
      <c r="N8" s="872"/>
      <c r="O8" s="872"/>
      <c r="P8" s="872"/>
      <c r="Q8" s="872"/>
      <c r="R8" s="872"/>
      <c r="S8" s="872"/>
      <c r="T8" s="872"/>
      <c r="U8" s="872"/>
      <c r="V8" s="872"/>
      <c r="W8" s="872"/>
      <c r="X8" s="872"/>
      <c r="Y8" s="872"/>
      <c r="Z8" s="872"/>
      <c r="AA8" s="872"/>
      <c r="AB8" s="872"/>
      <c r="AC8" s="872"/>
      <c r="AD8" s="872"/>
      <c r="AE8" s="872"/>
      <c r="AF8" s="872"/>
      <c r="AG8" s="872"/>
      <c r="AH8" s="872"/>
      <c r="AI8" s="872"/>
      <c r="AJ8" s="872"/>
      <c r="AK8" s="872"/>
      <c r="AL8" s="872"/>
      <c r="AM8" s="872"/>
      <c r="AN8" s="872"/>
      <c r="AP8" s="503" t="s">
        <v>179</v>
      </c>
      <c r="AQ8" s="504">
        <f>Tongaalltestshistptsagainst</f>
        <v>6545</v>
      </c>
      <c r="AS8" s="503" t="s">
        <v>179</v>
      </c>
      <c r="AT8" s="504">
        <f>TongaRWChistptscon</f>
        <v>966</v>
      </c>
    </row>
    <row r="9" spans="1:46" ht="14.95" customHeight="1" thickBot="1" x14ac:dyDescent="0.3">
      <c r="A9" s="559"/>
      <c r="F9" s="14"/>
      <c r="G9" s="14"/>
      <c r="H9" s="13"/>
      <c r="I9" s="14"/>
      <c r="J9" s="14"/>
      <c r="K9" s="14"/>
      <c r="L9" s="14"/>
      <c r="M9" s="14"/>
      <c r="N9" s="14"/>
      <c r="O9" s="14"/>
      <c r="P9" s="14"/>
      <c r="Q9" s="14"/>
      <c r="R9" s="14"/>
      <c r="AP9" s="503" t="s">
        <v>169</v>
      </c>
      <c r="AQ9" s="504">
        <f>Tongaalltestshisttriesscored</f>
        <v>616</v>
      </c>
      <c r="AS9" s="503" t="s">
        <v>169</v>
      </c>
      <c r="AT9" s="504">
        <f>TongaRWChisttriesscored</f>
        <v>53</v>
      </c>
    </row>
    <row r="10" spans="1:46" x14ac:dyDescent="0.25">
      <c r="A10" s="566"/>
      <c r="F10" s="14"/>
      <c r="G10" s="14"/>
      <c r="H10" s="13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46" ht="15.8" customHeight="1" x14ac:dyDescent="0.25">
      <c r="A11" s="539"/>
      <c r="F11" s="14"/>
      <c r="G11" s="14"/>
      <c r="H11" s="13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46" x14ac:dyDescent="0.25">
      <c r="A12" s="437"/>
      <c r="F12" s="14"/>
      <c r="G12" s="14"/>
      <c r="H12" s="13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46" x14ac:dyDescent="0.25">
      <c r="A13" s="156"/>
      <c r="B13" t="s">
        <v>44</v>
      </c>
    </row>
    <row r="14" spans="1:46" x14ac:dyDescent="0.25">
      <c r="A14" s="154"/>
      <c r="B14" t="s">
        <v>42</v>
      </c>
    </row>
    <row r="15" spans="1:46" x14ac:dyDescent="0.25">
      <c r="A15" s="155"/>
      <c r="B15" t="s">
        <v>43</v>
      </c>
    </row>
    <row r="16" spans="1:46" x14ac:dyDescent="0.25">
      <c r="A16" s="15" t="s">
        <v>28</v>
      </c>
    </row>
  </sheetData>
  <mergeCells count="13">
    <mergeCell ref="A8:AN8"/>
    <mergeCell ref="C7:E7"/>
    <mergeCell ref="P1:R1"/>
    <mergeCell ref="A1:C1"/>
    <mergeCell ref="E1:G1"/>
    <mergeCell ref="H1:I1"/>
    <mergeCell ref="J1:M1"/>
    <mergeCell ref="N1:O1"/>
    <mergeCell ref="AG1:AJ1"/>
    <mergeCell ref="AK1:AN1"/>
    <mergeCell ref="AC1:AF1"/>
    <mergeCell ref="C6:E6"/>
    <mergeCell ref="Y1:AB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T16"/>
  <sheetViews>
    <sheetView workbookViewId="0">
      <selection activeCell="AK12" sqref="AK12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5" customWidth="1"/>
    <col min="5" max="18" width="3.625" customWidth="1"/>
    <col min="19" max="20" width="6.375" customWidth="1"/>
    <col min="21" max="21" width="27.5" customWidth="1"/>
    <col min="22" max="22" width="24.125" bestFit="1" customWidth="1"/>
    <col min="23" max="23" width="27.5" customWidth="1"/>
    <col min="24" max="24" width="25.875" bestFit="1" customWidth="1"/>
    <col min="25" max="28" width="4.375" customWidth="1"/>
    <col min="29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958" t="s">
        <v>379</v>
      </c>
      <c r="B1" s="959"/>
      <c r="C1" s="959"/>
      <c r="D1" s="161"/>
      <c r="E1" s="960" t="s">
        <v>24</v>
      </c>
      <c r="F1" s="961"/>
      <c r="G1" s="962"/>
      <c r="H1" s="960" t="s">
        <v>23</v>
      </c>
      <c r="I1" s="962"/>
      <c r="J1" s="955" t="s">
        <v>6</v>
      </c>
      <c r="K1" s="956"/>
      <c r="L1" s="956"/>
      <c r="M1" s="957"/>
      <c r="N1" s="955" t="s">
        <v>7</v>
      </c>
      <c r="O1" s="957"/>
      <c r="P1" s="955" t="s">
        <v>25</v>
      </c>
      <c r="Q1" s="956"/>
      <c r="R1" s="957"/>
      <c r="S1" s="129" t="s">
        <v>8</v>
      </c>
      <c r="T1" s="129" t="s">
        <v>9</v>
      </c>
      <c r="U1" s="130" t="s">
        <v>10</v>
      </c>
      <c r="V1" s="129" t="s">
        <v>11</v>
      </c>
      <c r="W1" s="131" t="s">
        <v>26</v>
      </c>
      <c r="X1" s="165" t="s">
        <v>27</v>
      </c>
      <c r="Y1" s="953" t="s">
        <v>20</v>
      </c>
      <c r="Z1" s="747"/>
      <c r="AA1" s="747"/>
      <c r="AB1" s="748"/>
      <c r="AC1" s="954" t="s">
        <v>61</v>
      </c>
      <c r="AD1" s="750"/>
      <c r="AE1" s="750"/>
      <c r="AF1" s="750"/>
      <c r="AG1" s="953" t="s">
        <v>62</v>
      </c>
      <c r="AH1" s="747"/>
      <c r="AI1" s="747"/>
      <c r="AJ1" s="748"/>
      <c r="AK1" s="953" t="s">
        <v>63</v>
      </c>
      <c r="AL1" s="747"/>
      <c r="AM1" s="747"/>
      <c r="AN1" s="748"/>
      <c r="AP1" s="545" t="s">
        <v>60</v>
      </c>
      <c r="AQ1" s="520"/>
      <c r="AR1" s="520"/>
      <c r="AS1" s="545" t="s">
        <v>60</v>
      </c>
    </row>
    <row r="2" spans="1:46" ht="14.95" customHeight="1" thickBot="1" x14ac:dyDescent="0.3">
      <c r="A2" s="132" t="s">
        <v>19</v>
      </c>
      <c r="B2" s="133" t="s">
        <v>18</v>
      </c>
      <c r="C2" s="134" t="s">
        <v>17</v>
      </c>
      <c r="D2" s="135" t="s">
        <v>41</v>
      </c>
      <c r="E2" s="135" t="s">
        <v>16</v>
      </c>
      <c r="F2" s="135" t="s">
        <v>4</v>
      </c>
      <c r="G2" s="135" t="s">
        <v>5</v>
      </c>
      <c r="H2" s="136" t="s">
        <v>12</v>
      </c>
      <c r="I2" s="136" t="s">
        <v>3</v>
      </c>
      <c r="J2" s="136" t="s">
        <v>12</v>
      </c>
      <c r="K2" s="136" t="s">
        <v>13</v>
      </c>
      <c r="L2" s="136" t="s">
        <v>2</v>
      </c>
      <c r="M2" s="136" t="s">
        <v>14</v>
      </c>
      <c r="N2" s="136" t="s">
        <v>15</v>
      </c>
      <c r="O2" s="136" t="s">
        <v>16</v>
      </c>
      <c r="P2" s="136" t="s">
        <v>21</v>
      </c>
      <c r="Q2" s="136" t="s">
        <v>22</v>
      </c>
      <c r="R2" s="136" t="s">
        <v>12</v>
      </c>
      <c r="S2" s="137"/>
      <c r="T2" s="138"/>
      <c r="U2" s="139"/>
      <c r="V2" s="137"/>
      <c r="W2" s="213"/>
      <c r="X2" s="140"/>
      <c r="Y2" s="554" t="s">
        <v>0</v>
      </c>
      <c r="Z2" s="554" t="s">
        <v>1</v>
      </c>
      <c r="AA2" s="554" t="s">
        <v>2</v>
      </c>
      <c r="AB2" s="554" t="s">
        <v>3</v>
      </c>
      <c r="AC2" s="554" t="s">
        <v>0</v>
      </c>
      <c r="AD2" s="554" t="s">
        <v>1</v>
      </c>
      <c r="AE2" s="554" t="s">
        <v>2</v>
      </c>
      <c r="AF2" s="554" t="s">
        <v>3</v>
      </c>
      <c r="AG2" s="554" t="s">
        <v>0</v>
      </c>
      <c r="AH2" s="554" t="s">
        <v>1</v>
      </c>
      <c r="AI2" s="554" t="s">
        <v>2</v>
      </c>
      <c r="AJ2" s="554" t="s">
        <v>3</v>
      </c>
      <c r="AK2" s="554" t="s">
        <v>0</v>
      </c>
      <c r="AL2" s="554" t="s">
        <v>1</v>
      </c>
      <c r="AM2" s="554" t="s">
        <v>2</v>
      </c>
      <c r="AN2" s="554" t="s">
        <v>3</v>
      </c>
      <c r="AP2" s="481" t="s">
        <v>108</v>
      </c>
      <c r="AQ2" s="249"/>
      <c r="AS2" s="482" t="s">
        <v>167</v>
      </c>
      <c r="AT2" s="249"/>
    </row>
    <row r="3" spans="1:46" ht="14.95" customHeight="1" thickBot="1" x14ac:dyDescent="0.3">
      <c r="A3" s="387"/>
      <c r="B3" s="388"/>
      <c r="C3" s="769" t="s">
        <v>109</v>
      </c>
      <c r="D3" s="770"/>
      <c r="E3" s="771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W3" s="383"/>
      <c r="X3" s="612" t="s">
        <v>109</v>
      </c>
      <c r="Y3" s="386"/>
      <c r="Z3" s="386"/>
      <c r="AA3" s="386"/>
      <c r="AB3" s="386"/>
      <c r="AC3" s="384"/>
      <c r="AD3" s="384"/>
      <c r="AE3" s="384"/>
      <c r="AF3" s="384"/>
      <c r="AG3" s="385"/>
      <c r="AH3" s="385"/>
      <c r="AI3" s="385"/>
      <c r="AJ3" s="385"/>
      <c r="AK3" s="386"/>
      <c r="AL3" s="386"/>
      <c r="AM3" s="386"/>
      <c r="AN3" s="386"/>
      <c r="AP3" s="501" t="s">
        <v>170</v>
      </c>
      <c r="AQ3" s="502">
        <f>United_Statesalltestshistplayed</f>
        <v>260</v>
      </c>
      <c r="AS3" s="501" t="s">
        <v>170</v>
      </c>
      <c r="AT3" s="502">
        <f>United_StatesRWChistplayed</f>
        <v>29</v>
      </c>
    </row>
    <row r="4" spans="1:46" ht="14.95" customHeight="1" thickBot="1" x14ac:dyDescent="0.3">
      <c r="A4" s="387"/>
      <c r="B4" s="388"/>
      <c r="C4" s="772" t="s">
        <v>184</v>
      </c>
      <c r="D4" s="773"/>
      <c r="E4" s="77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0"/>
      <c r="T4" s="390"/>
      <c r="U4" s="390"/>
      <c r="V4" s="390"/>
      <c r="W4" s="391"/>
      <c r="X4" s="611" t="s">
        <v>184</v>
      </c>
      <c r="Y4" s="394"/>
      <c r="Z4" s="394"/>
      <c r="AA4" s="394"/>
      <c r="AB4" s="394"/>
      <c r="AC4" s="392"/>
      <c r="AD4" s="392"/>
      <c r="AE4" s="392"/>
      <c r="AF4" s="392"/>
      <c r="AG4" s="393"/>
      <c r="AH4" s="393"/>
      <c r="AI4" s="393"/>
      <c r="AJ4" s="393"/>
      <c r="AK4" s="394"/>
      <c r="AL4" s="394"/>
      <c r="AM4" s="394"/>
      <c r="AN4" s="394"/>
      <c r="AP4" s="503" t="s">
        <v>171</v>
      </c>
      <c r="AQ4" s="504">
        <f>United_Statesalltestshistwon</f>
        <v>95</v>
      </c>
      <c r="AS4" s="503" t="s">
        <v>171</v>
      </c>
      <c r="AT4" s="504">
        <f>United_StatesRWChistwon</f>
        <v>3</v>
      </c>
    </row>
    <row r="5" spans="1:46" ht="14.95" customHeight="1" thickBot="1" x14ac:dyDescent="0.3">
      <c r="A5" s="387"/>
      <c r="B5" s="388"/>
      <c r="C5" s="732" t="s">
        <v>108</v>
      </c>
      <c r="D5" s="733"/>
      <c r="E5" s="734"/>
      <c r="F5" s="552">
        <f t="shared" ref="F5:R5" si="0">SUM(F2:F2)</f>
        <v>0</v>
      </c>
      <c r="G5" s="552">
        <f t="shared" si="0"/>
        <v>0</v>
      </c>
      <c r="H5" s="552">
        <f t="shared" si="0"/>
        <v>0</v>
      </c>
      <c r="I5" s="552">
        <f t="shared" si="0"/>
        <v>0</v>
      </c>
      <c r="J5" s="552">
        <f t="shared" si="0"/>
        <v>0</v>
      </c>
      <c r="K5" s="552">
        <f t="shared" si="0"/>
        <v>0</v>
      </c>
      <c r="L5" s="552">
        <f t="shared" si="0"/>
        <v>0</v>
      </c>
      <c r="M5" s="552">
        <f t="shared" si="0"/>
        <v>0</v>
      </c>
      <c r="N5" s="552">
        <f t="shared" si="0"/>
        <v>0</v>
      </c>
      <c r="O5" s="552">
        <f t="shared" si="0"/>
        <v>0</v>
      </c>
      <c r="P5" s="552">
        <f t="shared" si="0"/>
        <v>0</v>
      </c>
      <c r="Q5" s="552">
        <f t="shared" si="0"/>
        <v>0</v>
      </c>
      <c r="R5" s="552">
        <f t="shared" si="0"/>
        <v>0</v>
      </c>
      <c r="S5" s="548"/>
      <c r="T5" s="548"/>
      <c r="U5" s="548"/>
      <c r="V5" s="548"/>
      <c r="W5" s="13"/>
      <c r="X5" s="596" t="s">
        <v>108</v>
      </c>
      <c r="Y5" s="552">
        <f t="shared" ref="Y5:AN5" si="1">SUM(Y2:Y2)</f>
        <v>0</v>
      </c>
      <c r="Z5" s="552">
        <f t="shared" si="1"/>
        <v>0</v>
      </c>
      <c r="AA5" s="552">
        <f t="shared" si="1"/>
        <v>0</v>
      </c>
      <c r="AB5" s="552">
        <f t="shared" si="1"/>
        <v>0</v>
      </c>
      <c r="AC5" s="550">
        <f t="shared" si="1"/>
        <v>0</v>
      </c>
      <c r="AD5" s="550">
        <f t="shared" si="1"/>
        <v>0</v>
      </c>
      <c r="AE5" s="550">
        <f t="shared" si="1"/>
        <v>0</v>
      </c>
      <c r="AF5" s="550">
        <f t="shared" si="1"/>
        <v>0</v>
      </c>
      <c r="AG5" s="551">
        <f t="shared" si="1"/>
        <v>0</v>
      </c>
      <c r="AH5" s="551">
        <f t="shared" si="1"/>
        <v>0</v>
      </c>
      <c r="AI5" s="551">
        <f t="shared" si="1"/>
        <v>0</v>
      </c>
      <c r="AJ5" s="551">
        <f t="shared" si="1"/>
        <v>0</v>
      </c>
      <c r="AK5" s="552">
        <f t="shared" si="1"/>
        <v>0</v>
      </c>
      <c r="AL5" s="552">
        <f t="shared" si="1"/>
        <v>0</v>
      </c>
      <c r="AM5" s="552">
        <f t="shared" si="1"/>
        <v>0</v>
      </c>
      <c r="AN5" s="552">
        <f t="shared" si="1"/>
        <v>0</v>
      </c>
      <c r="AP5" s="503" t="s">
        <v>177</v>
      </c>
      <c r="AQ5" s="504">
        <f>United_Statesalltestshistdrawn</f>
        <v>4</v>
      </c>
      <c r="AS5" s="503" t="s">
        <v>177</v>
      </c>
      <c r="AT5" s="504">
        <f>United_StatesRWChistdrawn</f>
        <v>0</v>
      </c>
    </row>
    <row r="6" spans="1:46" ht="14.95" customHeight="1" thickBot="1" x14ac:dyDescent="0.3">
      <c r="A6" s="871" t="s">
        <v>501</v>
      </c>
      <c r="B6" s="872"/>
      <c r="C6" s="872"/>
      <c r="D6" s="872"/>
      <c r="E6" s="872"/>
      <c r="F6" s="872"/>
      <c r="G6" s="872"/>
      <c r="H6" s="872"/>
      <c r="I6" s="872"/>
      <c r="J6" s="872"/>
      <c r="K6" s="872"/>
      <c r="L6" s="872"/>
      <c r="M6" s="872"/>
      <c r="N6" s="872"/>
      <c r="O6" s="872"/>
      <c r="P6" s="872"/>
      <c r="Q6" s="872"/>
      <c r="R6" s="872"/>
      <c r="S6" s="872"/>
      <c r="T6" s="872"/>
      <c r="U6" s="872"/>
      <c r="V6" s="872"/>
      <c r="W6" s="872"/>
      <c r="X6" s="872"/>
      <c r="Y6" s="872"/>
      <c r="Z6" s="872"/>
      <c r="AA6" s="872"/>
      <c r="AB6" s="872"/>
      <c r="AC6" s="872"/>
      <c r="AD6" s="872"/>
      <c r="AE6" s="872"/>
      <c r="AF6" s="872"/>
      <c r="AG6" s="872"/>
      <c r="AH6" s="872"/>
      <c r="AI6" s="872"/>
      <c r="AJ6" s="872"/>
      <c r="AK6" s="872"/>
      <c r="AL6" s="872"/>
      <c r="AM6" s="872"/>
      <c r="AN6" s="872"/>
      <c r="AP6" s="503" t="s">
        <v>172</v>
      </c>
      <c r="AQ6" s="504">
        <f>United_Statesalltestshistlost</f>
        <v>161</v>
      </c>
      <c r="AS6" s="503" t="s">
        <v>172</v>
      </c>
      <c r="AT6" s="504">
        <f>United_StatesRWChistlost</f>
        <v>26</v>
      </c>
    </row>
    <row r="7" spans="1:46" ht="14.95" customHeight="1" thickBot="1" x14ac:dyDescent="0.3">
      <c r="A7" s="762"/>
      <c r="B7" s="725"/>
      <c r="C7" s="725"/>
      <c r="D7" s="725"/>
      <c r="E7" s="725"/>
      <c r="F7" s="725"/>
      <c r="G7" s="725"/>
      <c r="H7" s="725"/>
      <c r="I7" s="725"/>
      <c r="J7" s="725"/>
      <c r="K7" s="725"/>
      <c r="L7" s="725"/>
      <c r="M7" s="725"/>
      <c r="N7" s="725"/>
      <c r="O7" s="725"/>
      <c r="P7" s="725"/>
      <c r="Q7" s="725"/>
      <c r="R7" s="725"/>
      <c r="AP7" s="503" t="s">
        <v>178</v>
      </c>
      <c r="AQ7" s="504">
        <f>United_Statesalltestshistptsscored</f>
        <v>5489</v>
      </c>
      <c r="AS7" s="503" t="s">
        <v>178</v>
      </c>
      <c r="AT7" s="504">
        <f>United_StatesRWChistptsscored</f>
        <v>402</v>
      </c>
    </row>
    <row r="8" spans="1:46" ht="14.95" customHeight="1" thickBot="1" x14ac:dyDescent="0.3">
      <c r="A8" s="546"/>
      <c r="F8" s="14"/>
      <c r="G8" s="14"/>
      <c r="H8" s="13"/>
      <c r="I8" s="14"/>
      <c r="J8" s="14"/>
      <c r="K8" s="14"/>
      <c r="L8" s="14"/>
      <c r="M8" s="14"/>
      <c r="N8" s="14"/>
      <c r="O8" s="14"/>
      <c r="P8" s="14"/>
      <c r="Q8" s="14"/>
      <c r="R8" s="14"/>
      <c r="AP8" s="503" t="s">
        <v>179</v>
      </c>
      <c r="AQ8" s="504">
        <f>United_Statesalltestshistptscon</f>
        <v>6984</v>
      </c>
      <c r="AS8" s="503" t="s">
        <v>179</v>
      </c>
      <c r="AT8" s="504">
        <f>United_StatesRWChistptscon</f>
        <v>1048</v>
      </c>
    </row>
    <row r="9" spans="1:46" ht="14.95" customHeight="1" thickBot="1" x14ac:dyDescent="0.3">
      <c r="A9" s="544"/>
      <c r="F9" s="14"/>
      <c r="G9" s="14"/>
      <c r="H9" s="13"/>
      <c r="I9" s="14"/>
      <c r="J9" s="14"/>
      <c r="K9" s="14"/>
      <c r="L9" s="14"/>
      <c r="M9" s="14"/>
      <c r="N9" s="14"/>
      <c r="O9" s="14"/>
      <c r="P9" s="14"/>
      <c r="Q9" s="14"/>
      <c r="R9" s="14"/>
      <c r="AP9" s="503" t="s">
        <v>169</v>
      </c>
      <c r="AQ9" s="504">
        <f>United_Statesalltestshisttriesscored</f>
        <v>648</v>
      </c>
      <c r="AS9" s="503" t="s">
        <v>169</v>
      </c>
      <c r="AT9" s="504">
        <f>United_StatesRWChisttriesscored</f>
        <v>44</v>
      </c>
    </row>
    <row r="10" spans="1:46" x14ac:dyDescent="0.25">
      <c r="A10" s="566"/>
      <c r="F10" s="14"/>
      <c r="G10" s="14"/>
      <c r="H10" s="13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46" x14ac:dyDescent="0.25">
      <c r="A11" s="544"/>
      <c r="F11" s="14"/>
      <c r="G11" s="14"/>
      <c r="H11" s="13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46" x14ac:dyDescent="0.25">
      <c r="A12" s="467"/>
    </row>
    <row r="13" spans="1:46" x14ac:dyDescent="0.25">
      <c r="A13" s="156"/>
      <c r="B13" t="s">
        <v>44</v>
      </c>
    </row>
    <row r="14" spans="1:46" ht="14.95" customHeight="1" x14ac:dyDescent="0.25">
      <c r="A14" s="154"/>
      <c r="B14" t="s">
        <v>42</v>
      </c>
    </row>
    <row r="15" spans="1:46" x14ac:dyDescent="0.25">
      <c r="A15" s="155"/>
      <c r="B15" t="s">
        <v>43</v>
      </c>
    </row>
    <row r="16" spans="1:46" x14ac:dyDescent="0.25">
      <c r="A16" s="15" t="s">
        <v>28</v>
      </c>
    </row>
  </sheetData>
  <mergeCells count="15">
    <mergeCell ref="C3:E3"/>
    <mergeCell ref="C4:E4"/>
    <mergeCell ref="C5:E5"/>
    <mergeCell ref="A7:R7"/>
    <mergeCell ref="A6:AN6"/>
    <mergeCell ref="A1:C1"/>
    <mergeCell ref="E1:G1"/>
    <mergeCell ref="H1:I1"/>
    <mergeCell ref="J1:M1"/>
    <mergeCell ref="N1:O1"/>
    <mergeCell ref="Y1:AB1"/>
    <mergeCell ref="AC1:AF1"/>
    <mergeCell ref="AG1:AJ1"/>
    <mergeCell ref="AK1:AN1"/>
    <mergeCell ref="P1:R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T13"/>
  <sheetViews>
    <sheetView workbookViewId="0">
      <selection activeCell="O31" sqref="O31"/>
    </sheetView>
  </sheetViews>
  <sheetFormatPr defaultRowHeight="14.3" x14ac:dyDescent="0.25"/>
  <cols>
    <col min="1" max="1" width="7.5" customWidth="1"/>
    <col min="2" max="2" width="5.5" customWidth="1"/>
    <col min="3" max="3" width="13.625" customWidth="1"/>
    <col min="4" max="4" width="4.875" bestFit="1" customWidth="1"/>
    <col min="5" max="18" width="3.625" customWidth="1"/>
    <col min="19" max="20" width="6.375" customWidth="1"/>
    <col min="21" max="21" width="25.875" customWidth="1"/>
    <col min="22" max="22" width="22.5" bestFit="1" customWidth="1"/>
    <col min="23" max="23" width="23" bestFit="1" customWidth="1"/>
    <col min="24" max="24" width="24.625" bestFit="1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963" t="s">
        <v>361</v>
      </c>
      <c r="B1" s="964"/>
      <c r="C1" s="964"/>
      <c r="D1" s="162"/>
      <c r="E1" s="965" t="s">
        <v>24</v>
      </c>
      <c r="F1" s="966"/>
      <c r="G1" s="967"/>
      <c r="H1" s="965" t="s">
        <v>23</v>
      </c>
      <c r="I1" s="967"/>
      <c r="J1" s="968" t="s">
        <v>6</v>
      </c>
      <c r="K1" s="969"/>
      <c r="L1" s="969"/>
      <c r="M1" s="970"/>
      <c r="N1" s="968" t="s">
        <v>7</v>
      </c>
      <c r="O1" s="970"/>
      <c r="P1" s="968" t="s">
        <v>25</v>
      </c>
      <c r="Q1" s="969"/>
      <c r="R1" s="970"/>
      <c r="S1" s="476" t="s">
        <v>8</v>
      </c>
      <c r="T1" s="476" t="s">
        <v>9</v>
      </c>
      <c r="U1" s="477" t="s">
        <v>10</v>
      </c>
      <c r="V1" s="476" t="s">
        <v>11</v>
      </c>
      <c r="W1" s="478" t="s">
        <v>26</v>
      </c>
      <c r="X1" s="479" t="s">
        <v>27</v>
      </c>
      <c r="Y1" s="971" t="s">
        <v>20</v>
      </c>
      <c r="Z1" s="747"/>
      <c r="AA1" s="747"/>
      <c r="AB1" s="748"/>
      <c r="AC1" s="971" t="s">
        <v>61</v>
      </c>
      <c r="AD1" s="747"/>
      <c r="AE1" s="747"/>
      <c r="AF1" s="748"/>
      <c r="AG1" s="971" t="s">
        <v>62</v>
      </c>
      <c r="AH1" s="747"/>
      <c r="AI1" s="747"/>
      <c r="AJ1" s="748"/>
      <c r="AK1" s="971" t="s">
        <v>63</v>
      </c>
      <c r="AL1" s="747"/>
      <c r="AM1" s="747"/>
      <c r="AN1" s="748"/>
      <c r="AP1" s="527" t="s">
        <v>203</v>
      </c>
      <c r="AQ1" s="520"/>
      <c r="AR1" s="520"/>
      <c r="AS1" s="527" t="s">
        <v>203</v>
      </c>
    </row>
    <row r="2" spans="1:46" ht="14.95" customHeight="1" thickBot="1" x14ac:dyDescent="0.3">
      <c r="A2" s="142" t="s">
        <v>19</v>
      </c>
      <c r="B2" s="143" t="s">
        <v>18</v>
      </c>
      <c r="C2" s="144" t="s">
        <v>17</v>
      </c>
      <c r="D2" s="145" t="s">
        <v>41</v>
      </c>
      <c r="E2" s="145" t="s">
        <v>16</v>
      </c>
      <c r="F2" s="145" t="s">
        <v>4</v>
      </c>
      <c r="G2" s="145" t="s">
        <v>5</v>
      </c>
      <c r="H2" s="146" t="s">
        <v>12</v>
      </c>
      <c r="I2" s="146" t="s">
        <v>3</v>
      </c>
      <c r="J2" s="146" t="s">
        <v>12</v>
      </c>
      <c r="K2" s="146" t="s">
        <v>13</v>
      </c>
      <c r="L2" s="146" t="s">
        <v>2</v>
      </c>
      <c r="M2" s="146" t="s">
        <v>14</v>
      </c>
      <c r="N2" s="146" t="s">
        <v>15</v>
      </c>
      <c r="O2" s="146" t="s">
        <v>16</v>
      </c>
      <c r="P2" s="146" t="s">
        <v>21</v>
      </c>
      <c r="Q2" s="146" t="s">
        <v>22</v>
      </c>
      <c r="R2" s="146" t="s">
        <v>12</v>
      </c>
      <c r="S2" s="147"/>
      <c r="T2" s="417"/>
      <c r="U2" s="148"/>
      <c r="V2" s="147"/>
      <c r="W2" s="215"/>
      <c r="X2" s="149"/>
      <c r="Y2" s="141" t="s">
        <v>0</v>
      </c>
      <c r="Z2" s="141" t="s">
        <v>1</v>
      </c>
      <c r="AA2" s="141" t="s">
        <v>2</v>
      </c>
      <c r="AB2" s="141" t="s">
        <v>3</v>
      </c>
      <c r="AC2" s="141" t="s">
        <v>0</v>
      </c>
      <c r="AD2" s="141" t="s">
        <v>1</v>
      </c>
      <c r="AE2" s="141" t="s">
        <v>2</v>
      </c>
      <c r="AF2" s="141" t="s">
        <v>3</v>
      </c>
      <c r="AG2" s="141" t="s">
        <v>0</v>
      </c>
      <c r="AH2" s="141" t="s">
        <v>1</v>
      </c>
      <c r="AI2" s="141" t="s">
        <v>2</v>
      </c>
      <c r="AJ2" s="141" t="s">
        <v>3</v>
      </c>
      <c r="AK2" s="141" t="s">
        <v>0</v>
      </c>
      <c r="AL2" s="141" t="s">
        <v>1</v>
      </c>
      <c r="AM2" s="141" t="s">
        <v>2</v>
      </c>
      <c r="AN2" s="141" t="s">
        <v>3</v>
      </c>
      <c r="AP2" s="481" t="s">
        <v>108</v>
      </c>
      <c r="AQ2" s="249"/>
      <c r="AS2" s="482" t="s">
        <v>167</v>
      </c>
      <c r="AT2" s="249"/>
    </row>
    <row r="3" spans="1:46" ht="14.95" customHeight="1" thickBot="1" x14ac:dyDescent="0.3">
      <c r="A3" s="191">
        <v>44136</v>
      </c>
      <c r="B3" s="192" t="s">
        <v>45</v>
      </c>
      <c r="C3" s="192" t="s">
        <v>146</v>
      </c>
      <c r="D3" s="192" t="s">
        <v>434</v>
      </c>
      <c r="E3" s="193" t="s">
        <v>3</v>
      </c>
      <c r="F3" s="193">
        <v>20</v>
      </c>
      <c r="G3" s="193">
        <v>32</v>
      </c>
      <c r="H3" s="193" t="s">
        <v>107</v>
      </c>
      <c r="I3" s="193" t="s">
        <v>107</v>
      </c>
      <c r="J3" s="193">
        <v>2</v>
      </c>
      <c r="K3" s="193">
        <v>2</v>
      </c>
      <c r="L3" s="193">
        <v>0</v>
      </c>
      <c r="M3" s="193">
        <v>2</v>
      </c>
      <c r="N3" s="193">
        <v>0</v>
      </c>
      <c r="O3" s="193">
        <v>0</v>
      </c>
      <c r="P3" s="193" t="s">
        <v>107</v>
      </c>
      <c r="Q3" s="193" t="s">
        <v>107</v>
      </c>
      <c r="R3" s="193">
        <v>4</v>
      </c>
      <c r="S3" s="205">
        <v>0</v>
      </c>
      <c r="T3" s="218" t="s">
        <v>436</v>
      </c>
      <c r="U3" s="206" t="s">
        <v>126</v>
      </c>
      <c r="V3" s="205" t="s">
        <v>153</v>
      </c>
      <c r="W3" s="194" t="s">
        <v>437</v>
      </c>
      <c r="X3" s="207" t="s">
        <v>438</v>
      </c>
      <c r="Y3" s="362">
        <v>1</v>
      </c>
      <c r="Z3" s="362">
        <v>0</v>
      </c>
      <c r="AA3" s="362">
        <v>0</v>
      </c>
      <c r="AB3" s="475">
        <v>1</v>
      </c>
      <c r="AC3" s="362">
        <v>1</v>
      </c>
      <c r="AD3" s="362">
        <v>0</v>
      </c>
      <c r="AE3" s="362">
        <v>0</v>
      </c>
      <c r="AF3" s="475">
        <v>1</v>
      </c>
      <c r="AG3" s="362">
        <v>0</v>
      </c>
      <c r="AH3" s="362">
        <v>0</v>
      </c>
      <c r="AI3" s="362">
        <v>0</v>
      </c>
      <c r="AJ3" s="475">
        <v>0</v>
      </c>
      <c r="AK3" s="362">
        <v>0</v>
      </c>
      <c r="AL3" s="362">
        <v>0</v>
      </c>
      <c r="AM3" s="362">
        <v>0</v>
      </c>
      <c r="AN3" s="475">
        <v>0</v>
      </c>
      <c r="AP3" s="501" t="s">
        <v>170</v>
      </c>
      <c r="AQ3" s="502">
        <f>Urualltestshistplayed</f>
        <v>290</v>
      </c>
      <c r="AS3" s="501" t="s">
        <v>170</v>
      </c>
      <c r="AT3" s="502">
        <f>UruRWChistplayed</f>
        <v>15</v>
      </c>
    </row>
    <row r="4" spans="1:46" ht="14.95" customHeight="1" thickBot="1" x14ac:dyDescent="0.35">
      <c r="A4" s="191">
        <v>44141</v>
      </c>
      <c r="B4" s="192" t="s">
        <v>45</v>
      </c>
      <c r="C4" s="192" t="s">
        <v>146</v>
      </c>
      <c r="D4" s="192" t="s">
        <v>434</v>
      </c>
      <c r="E4" s="193" t="s">
        <v>1</v>
      </c>
      <c r="F4" s="193">
        <v>19</v>
      </c>
      <c r="G4" s="193">
        <v>10</v>
      </c>
      <c r="H4" s="193" t="s">
        <v>107</v>
      </c>
      <c r="I4" s="193" t="s">
        <v>107</v>
      </c>
      <c r="J4" s="193">
        <v>1</v>
      </c>
      <c r="K4" s="193">
        <v>1</v>
      </c>
      <c r="L4" s="193">
        <v>0</v>
      </c>
      <c r="M4" s="193">
        <v>4</v>
      </c>
      <c r="N4" s="193">
        <v>1</v>
      </c>
      <c r="O4" s="193">
        <v>0</v>
      </c>
      <c r="P4" s="193" t="s">
        <v>107</v>
      </c>
      <c r="Q4" s="193" t="s">
        <v>107</v>
      </c>
      <c r="R4" s="193">
        <v>1</v>
      </c>
      <c r="S4" s="205">
        <v>0</v>
      </c>
      <c r="T4" s="312" t="s">
        <v>443</v>
      </c>
      <c r="U4" s="206" t="s">
        <v>126</v>
      </c>
      <c r="V4" s="205" t="s">
        <v>153</v>
      </c>
      <c r="W4" s="194" t="s">
        <v>437</v>
      </c>
      <c r="X4" s="207" t="s">
        <v>438</v>
      </c>
      <c r="Y4" s="362">
        <v>1</v>
      </c>
      <c r="Z4" s="362">
        <v>1</v>
      </c>
      <c r="AA4" s="362">
        <v>0</v>
      </c>
      <c r="AB4" s="475">
        <v>0</v>
      </c>
      <c r="AC4" s="362">
        <v>1</v>
      </c>
      <c r="AD4" s="362">
        <v>1</v>
      </c>
      <c r="AE4" s="362">
        <v>0</v>
      </c>
      <c r="AF4" s="475">
        <v>0</v>
      </c>
      <c r="AG4" s="362">
        <v>0</v>
      </c>
      <c r="AH4" s="362">
        <v>0</v>
      </c>
      <c r="AI4" s="362">
        <v>0</v>
      </c>
      <c r="AJ4" s="475">
        <v>0</v>
      </c>
      <c r="AK4" s="362">
        <v>0</v>
      </c>
      <c r="AL4" s="362">
        <v>0</v>
      </c>
      <c r="AM4" s="362">
        <v>0</v>
      </c>
      <c r="AN4" s="475">
        <v>0</v>
      </c>
      <c r="AP4" s="503" t="s">
        <v>171</v>
      </c>
      <c r="AQ4" s="504">
        <f>Urualltestshistwon</f>
        <v>137</v>
      </c>
      <c r="AS4" s="503" t="s">
        <v>171</v>
      </c>
      <c r="AT4" s="504">
        <f>UruRWChistwon</f>
        <v>3</v>
      </c>
    </row>
    <row r="5" spans="1:46" ht="14.95" customHeight="1" thickBot="1" x14ac:dyDescent="0.3">
      <c r="A5" s="387"/>
      <c r="B5" s="388"/>
      <c r="C5" s="769" t="s">
        <v>373</v>
      </c>
      <c r="D5" s="770"/>
      <c r="E5" s="771"/>
      <c r="F5" s="386">
        <f t="shared" ref="F5:R5" si="0">SUM(F3:F4)</f>
        <v>39</v>
      </c>
      <c r="G5" s="386">
        <f t="shared" si="0"/>
        <v>42</v>
      </c>
      <c r="H5" s="386">
        <f t="shared" si="0"/>
        <v>0</v>
      </c>
      <c r="I5" s="386">
        <f t="shared" si="0"/>
        <v>0</v>
      </c>
      <c r="J5" s="386">
        <f t="shared" si="0"/>
        <v>3</v>
      </c>
      <c r="K5" s="386">
        <f t="shared" si="0"/>
        <v>3</v>
      </c>
      <c r="L5" s="386">
        <f t="shared" si="0"/>
        <v>0</v>
      </c>
      <c r="M5" s="386">
        <f t="shared" si="0"/>
        <v>6</v>
      </c>
      <c r="N5" s="386">
        <f t="shared" si="0"/>
        <v>1</v>
      </c>
      <c r="O5" s="386">
        <f t="shared" si="0"/>
        <v>0</v>
      </c>
      <c r="P5" s="386">
        <f t="shared" si="0"/>
        <v>0</v>
      </c>
      <c r="Q5" s="386">
        <f t="shared" si="0"/>
        <v>0</v>
      </c>
      <c r="R5" s="386">
        <f t="shared" si="0"/>
        <v>5</v>
      </c>
      <c r="W5" s="383"/>
      <c r="X5" s="612" t="s">
        <v>373</v>
      </c>
      <c r="Y5" s="386">
        <f t="shared" ref="Y5:AN5" si="1">SUM(Y3:Y4)</f>
        <v>2</v>
      </c>
      <c r="Z5" s="386">
        <f t="shared" si="1"/>
        <v>1</v>
      </c>
      <c r="AA5" s="386">
        <f t="shared" si="1"/>
        <v>0</v>
      </c>
      <c r="AB5" s="386">
        <f t="shared" si="1"/>
        <v>1</v>
      </c>
      <c r="AC5" s="384">
        <f t="shared" si="1"/>
        <v>2</v>
      </c>
      <c r="AD5" s="384">
        <f t="shared" si="1"/>
        <v>1</v>
      </c>
      <c r="AE5" s="384">
        <f t="shared" si="1"/>
        <v>0</v>
      </c>
      <c r="AF5" s="384">
        <f t="shared" si="1"/>
        <v>1</v>
      </c>
      <c r="AG5" s="385">
        <f t="shared" si="1"/>
        <v>0</v>
      </c>
      <c r="AH5" s="385">
        <f t="shared" si="1"/>
        <v>0</v>
      </c>
      <c r="AI5" s="385">
        <f t="shared" si="1"/>
        <v>0</v>
      </c>
      <c r="AJ5" s="385">
        <f t="shared" si="1"/>
        <v>0</v>
      </c>
      <c r="AK5" s="386">
        <f t="shared" si="1"/>
        <v>0</v>
      </c>
      <c r="AL5" s="386">
        <f t="shared" si="1"/>
        <v>0</v>
      </c>
      <c r="AM5" s="386">
        <f t="shared" si="1"/>
        <v>0</v>
      </c>
      <c r="AN5" s="386">
        <f t="shared" si="1"/>
        <v>0</v>
      </c>
      <c r="AP5" s="503" t="s">
        <v>177</v>
      </c>
      <c r="AQ5" s="504">
        <f>Urualltestshistdrawn</f>
        <v>4</v>
      </c>
      <c r="AS5" s="503" t="s">
        <v>177</v>
      </c>
      <c r="AT5" s="504">
        <f>UruRWChistdrawn</f>
        <v>0</v>
      </c>
    </row>
    <row r="6" spans="1:46" ht="14.95" customHeight="1" thickBot="1" x14ac:dyDescent="0.3">
      <c r="A6" s="387"/>
      <c r="B6" s="388"/>
      <c r="C6" s="732" t="s">
        <v>108</v>
      </c>
      <c r="D6" s="733"/>
      <c r="E6" s="734"/>
      <c r="F6" s="552">
        <f t="shared" ref="F6:R6" si="2">SUM(F3:F4)</f>
        <v>39</v>
      </c>
      <c r="G6" s="552">
        <f t="shared" si="2"/>
        <v>42</v>
      </c>
      <c r="H6" s="552">
        <f t="shared" si="2"/>
        <v>0</v>
      </c>
      <c r="I6" s="552">
        <f t="shared" si="2"/>
        <v>0</v>
      </c>
      <c r="J6" s="552">
        <f t="shared" si="2"/>
        <v>3</v>
      </c>
      <c r="K6" s="552">
        <f t="shared" si="2"/>
        <v>3</v>
      </c>
      <c r="L6" s="552">
        <f t="shared" si="2"/>
        <v>0</v>
      </c>
      <c r="M6" s="552">
        <f t="shared" si="2"/>
        <v>6</v>
      </c>
      <c r="N6" s="552">
        <f t="shared" si="2"/>
        <v>1</v>
      </c>
      <c r="O6" s="552">
        <f t="shared" si="2"/>
        <v>0</v>
      </c>
      <c r="P6" s="552">
        <f t="shared" si="2"/>
        <v>0</v>
      </c>
      <c r="Q6" s="552">
        <f t="shared" si="2"/>
        <v>0</v>
      </c>
      <c r="R6" s="552">
        <f t="shared" si="2"/>
        <v>5</v>
      </c>
      <c r="S6" s="548"/>
      <c r="T6" s="548"/>
      <c r="U6" s="548"/>
      <c r="V6" s="548"/>
      <c r="W6" s="13"/>
      <c r="X6" s="596" t="s">
        <v>108</v>
      </c>
      <c r="Y6" s="552">
        <f t="shared" ref="Y6:AN6" si="3">SUM(Y3:Y4)</f>
        <v>2</v>
      </c>
      <c r="Z6" s="552">
        <f t="shared" si="3"/>
        <v>1</v>
      </c>
      <c r="AA6" s="552">
        <f t="shared" si="3"/>
        <v>0</v>
      </c>
      <c r="AB6" s="552">
        <f t="shared" si="3"/>
        <v>1</v>
      </c>
      <c r="AC6" s="550">
        <f t="shared" si="3"/>
        <v>2</v>
      </c>
      <c r="AD6" s="550">
        <f t="shared" si="3"/>
        <v>1</v>
      </c>
      <c r="AE6" s="550">
        <f t="shared" si="3"/>
        <v>0</v>
      </c>
      <c r="AF6" s="550">
        <f t="shared" si="3"/>
        <v>1</v>
      </c>
      <c r="AG6" s="551">
        <f t="shared" si="3"/>
        <v>0</v>
      </c>
      <c r="AH6" s="551">
        <f t="shared" si="3"/>
        <v>0</v>
      </c>
      <c r="AI6" s="551">
        <f t="shared" si="3"/>
        <v>0</v>
      </c>
      <c r="AJ6" s="551">
        <f t="shared" si="3"/>
        <v>0</v>
      </c>
      <c r="AK6" s="552">
        <f t="shared" si="3"/>
        <v>0</v>
      </c>
      <c r="AL6" s="552">
        <f t="shared" si="3"/>
        <v>0</v>
      </c>
      <c r="AM6" s="552">
        <f t="shared" si="3"/>
        <v>0</v>
      </c>
      <c r="AN6" s="552">
        <f t="shared" si="3"/>
        <v>0</v>
      </c>
      <c r="AP6" s="503" t="s">
        <v>172</v>
      </c>
      <c r="AQ6" s="504">
        <f>Urualltestshistlost</f>
        <v>149</v>
      </c>
      <c r="AS6" s="503" t="s">
        <v>172</v>
      </c>
      <c r="AT6" s="504">
        <f>UruRWChistlost</f>
        <v>12</v>
      </c>
    </row>
    <row r="7" spans="1:46" ht="14.95" customHeight="1" thickBot="1" x14ac:dyDescent="0.3">
      <c r="A7" s="762" t="s">
        <v>435</v>
      </c>
      <c r="B7" s="762"/>
      <c r="C7" s="762"/>
      <c r="D7" s="762"/>
      <c r="E7" s="762"/>
      <c r="F7" s="762"/>
      <c r="G7" s="762"/>
      <c r="H7" s="762"/>
      <c r="I7" s="762"/>
      <c r="J7" s="762"/>
      <c r="K7" s="762"/>
      <c r="L7" s="762"/>
      <c r="M7" s="762"/>
      <c r="N7" s="762"/>
      <c r="O7" s="762"/>
      <c r="P7" s="762"/>
      <c r="Q7" s="762"/>
      <c r="R7" s="762"/>
      <c r="S7" s="762"/>
      <c r="T7" s="762"/>
      <c r="U7" s="762"/>
      <c r="V7" s="762"/>
      <c r="W7" s="762"/>
      <c r="X7" s="762"/>
      <c r="Y7" s="762"/>
      <c r="Z7" s="762"/>
      <c r="AA7" s="762"/>
      <c r="AB7" s="762"/>
      <c r="AC7" s="762"/>
      <c r="AD7" s="762"/>
      <c r="AE7" s="762"/>
      <c r="AF7" s="762"/>
      <c r="AG7" s="762"/>
      <c r="AH7" s="762"/>
      <c r="AI7" s="762"/>
      <c r="AJ7" s="762"/>
      <c r="AK7" s="762"/>
      <c r="AL7" s="762"/>
      <c r="AM7" s="762"/>
      <c r="AN7" s="762"/>
      <c r="AP7" s="503" t="s">
        <v>178</v>
      </c>
      <c r="AQ7" s="504">
        <f>Urualltestshistptsscored</f>
        <v>6552</v>
      </c>
      <c r="AS7" s="503" t="s">
        <v>178</v>
      </c>
      <c r="AT7" s="504">
        <f>UruRWChistptsscored</f>
        <v>188</v>
      </c>
    </row>
    <row r="8" spans="1:46" ht="14.95" customHeight="1" thickBot="1" x14ac:dyDescent="0.3">
      <c r="A8" s="544"/>
      <c r="F8" s="14"/>
      <c r="G8" s="14"/>
      <c r="H8" s="13"/>
      <c r="I8" s="14"/>
      <c r="J8" s="14"/>
      <c r="K8" s="14"/>
      <c r="L8" s="14"/>
      <c r="M8" s="14"/>
      <c r="N8" s="14"/>
      <c r="O8" s="14"/>
      <c r="P8" s="14"/>
      <c r="Q8" s="14"/>
      <c r="R8" s="14"/>
      <c r="AP8" s="503" t="s">
        <v>179</v>
      </c>
      <c r="AQ8" s="504">
        <f>Urualltestshistptscon</f>
        <v>7408</v>
      </c>
      <c r="AS8" s="503" t="s">
        <v>179</v>
      </c>
      <c r="AT8" s="504">
        <f>UruRWChistptscon</f>
        <v>718</v>
      </c>
    </row>
    <row r="9" spans="1:46" ht="14.95" customHeight="1" thickBot="1" x14ac:dyDescent="0.3">
      <c r="A9" s="544"/>
      <c r="F9" s="14"/>
      <c r="G9" s="14"/>
      <c r="H9" s="13"/>
      <c r="I9" s="14"/>
      <c r="J9" s="14"/>
      <c r="K9" s="14"/>
      <c r="L9" s="14"/>
      <c r="M9" s="14"/>
      <c r="N9" s="14"/>
      <c r="O9" s="14"/>
      <c r="P9" s="14"/>
      <c r="Q9" s="14"/>
      <c r="R9" s="14"/>
      <c r="AP9" s="503" t="s">
        <v>169</v>
      </c>
      <c r="AQ9" s="504">
        <f>Urualltestshisttriesscored</f>
        <v>792</v>
      </c>
      <c r="AS9" s="503" t="s">
        <v>169</v>
      </c>
      <c r="AT9" s="504">
        <f>UruRWChisttriesscored</f>
        <v>18</v>
      </c>
    </row>
    <row r="10" spans="1:46" x14ac:dyDescent="0.25">
      <c r="A10" s="156"/>
      <c r="B10" t="s">
        <v>44</v>
      </c>
    </row>
    <row r="11" spans="1:46" x14ac:dyDescent="0.25">
      <c r="A11" s="154"/>
      <c r="B11" t="s">
        <v>42</v>
      </c>
    </row>
    <row r="12" spans="1:46" x14ac:dyDescent="0.25">
      <c r="A12" s="155"/>
      <c r="B12" t="s">
        <v>43</v>
      </c>
    </row>
    <row r="13" spans="1:46" x14ac:dyDescent="0.25">
      <c r="A13" s="15" t="s">
        <v>28</v>
      </c>
    </row>
  </sheetData>
  <mergeCells count="13">
    <mergeCell ref="A7:AN7"/>
    <mergeCell ref="C5:E5"/>
    <mergeCell ref="C6:E6"/>
    <mergeCell ref="A1:C1"/>
    <mergeCell ref="E1:G1"/>
    <mergeCell ref="H1:I1"/>
    <mergeCell ref="J1:M1"/>
    <mergeCell ref="N1:O1"/>
    <mergeCell ref="Y1:AB1"/>
    <mergeCell ref="AC1:AF1"/>
    <mergeCell ref="AG1:AJ1"/>
    <mergeCell ref="AK1:AN1"/>
    <mergeCell ref="P1:R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T26"/>
  <sheetViews>
    <sheetView workbookViewId="0">
      <selection activeCell="U33" sqref="U33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625" customWidth="1"/>
    <col min="19" max="20" width="6.375" customWidth="1"/>
    <col min="21" max="21" width="30.5" customWidth="1"/>
    <col min="22" max="22" width="20.125" customWidth="1"/>
    <col min="23" max="23" width="20.375" bestFit="1" customWidth="1"/>
    <col min="24" max="24" width="27.5" customWidth="1"/>
    <col min="25" max="28" width="4.375" customWidth="1"/>
    <col min="29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942" t="s">
        <v>229</v>
      </c>
      <c r="B1" s="943"/>
      <c r="C1" s="943"/>
      <c r="D1" s="163"/>
      <c r="E1" s="944" t="s">
        <v>24</v>
      </c>
      <c r="F1" s="945"/>
      <c r="G1" s="946"/>
      <c r="H1" s="944" t="s">
        <v>23</v>
      </c>
      <c r="I1" s="946"/>
      <c r="J1" s="939" t="s">
        <v>6</v>
      </c>
      <c r="K1" s="940"/>
      <c r="L1" s="940"/>
      <c r="M1" s="941"/>
      <c r="N1" s="939" t="s">
        <v>7</v>
      </c>
      <c r="O1" s="941"/>
      <c r="P1" s="939" t="s">
        <v>25</v>
      </c>
      <c r="Q1" s="940"/>
      <c r="R1" s="941"/>
      <c r="S1" s="564" t="s">
        <v>8</v>
      </c>
      <c r="T1" s="564" t="s">
        <v>9</v>
      </c>
      <c r="U1" s="1" t="s">
        <v>10</v>
      </c>
      <c r="V1" s="6" t="s">
        <v>11</v>
      </c>
      <c r="W1" s="52" t="s">
        <v>26</v>
      </c>
      <c r="X1" s="164" t="s">
        <v>27</v>
      </c>
      <c r="Y1" s="947" t="s">
        <v>20</v>
      </c>
      <c r="Z1" s="747"/>
      <c r="AA1" s="747"/>
      <c r="AB1" s="748"/>
      <c r="AC1" s="947" t="s">
        <v>61</v>
      </c>
      <c r="AD1" s="747"/>
      <c r="AE1" s="747"/>
      <c r="AF1" s="748"/>
      <c r="AG1" s="947" t="s">
        <v>62</v>
      </c>
      <c r="AH1" s="747"/>
      <c r="AI1" s="747"/>
      <c r="AJ1" s="748"/>
      <c r="AK1" s="947" t="s">
        <v>63</v>
      </c>
      <c r="AL1" s="747"/>
      <c r="AM1" s="747"/>
      <c r="AN1" s="748"/>
      <c r="AP1" s="543" t="s">
        <v>204</v>
      </c>
      <c r="AQ1" s="520"/>
      <c r="AR1" s="520"/>
      <c r="AS1" s="543" t="s">
        <v>204</v>
      </c>
    </row>
    <row r="2" spans="1:46" ht="14.95" customHeight="1" thickBot="1" x14ac:dyDescent="0.3">
      <c r="A2" s="7" t="s">
        <v>19</v>
      </c>
      <c r="B2" s="8" t="s">
        <v>18</v>
      </c>
      <c r="C2" s="9" t="s">
        <v>17</v>
      </c>
      <c r="D2" s="10" t="s">
        <v>41</v>
      </c>
      <c r="E2" s="10" t="s">
        <v>16</v>
      </c>
      <c r="F2" s="10" t="s">
        <v>4</v>
      </c>
      <c r="G2" s="10" t="s">
        <v>5</v>
      </c>
      <c r="H2" s="11" t="s">
        <v>12</v>
      </c>
      <c r="I2" s="11" t="s">
        <v>3</v>
      </c>
      <c r="J2" s="11" t="s">
        <v>12</v>
      </c>
      <c r="K2" s="11" t="s">
        <v>13</v>
      </c>
      <c r="L2" s="11" t="s">
        <v>2</v>
      </c>
      <c r="M2" s="11" t="s">
        <v>14</v>
      </c>
      <c r="N2" s="11" t="s">
        <v>15</v>
      </c>
      <c r="O2" s="11" t="s">
        <v>16</v>
      </c>
      <c r="P2" s="11" t="s">
        <v>21</v>
      </c>
      <c r="Q2" s="11" t="s">
        <v>22</v>
      </c>
      <c r="R2" s="11" t="s">
        <v>12</v>
      </c>
      <c r="S2" s="2"/>
      <c r="T2" s="3"/>
      <c r="U2" s="4"/>
      <c r="V2" s="2"/>
      <c r="W2" s="53"/>
      <c r="X2" s="5"/>
      <c r="Y2" s="445" t="s">
        <v>0</v>
      </c>
      <c r="Z2" s="445" t="s">
        <v>1</v>
      </c>
      <c r="AA2" s="445" t="s">
        <v>2</v>
      </c>
      <c r="AB2" s="445" t="s">
        <v>3</v>
      </c>
      <c r="AC2" s="445" t="s">
        <v>0</v>
      </c>
      <c r="AD2" s="445" t="s">
        <v>1</v>
      </c>
      <c r="AE2" s="445" t="s">
        <v>2</v>
      </c>
      <c r="AF2" s="445" t="s">
        <v>3</v>
      </c>
      <c r="AG2" s="445" t="s">
        <v>0</v>
      </c>
      <c r="AH2" s="445" t="s">
        <v>1</v>
      </c>
      <c r="AI2" s="445" t="s">
        <v>2</v>
      </c>
      <c r="AJ2" s="445" t="s">
        <v>3</v>
      </c>
      <c r="AK2" s="445" t="s">
        <v>0</v>
      </c>
      <c r="AL2" s="445" t="s">
        <v>1</v>
      </c>
      <c r="AM2" s="445" t="s">
        <v>2</v>
      </c>
      <c r="AN2" s="445" t="s">
        <v>3</v>
      </c>
      <c r="AP2" s="481" t="s">
        <v>108</v>
      </c>
      <c r="AQ2" s="249"/>
      <c r="AS2" s="482" t="s">
        <v>167</v>
      </c>
      <c r="AT2" s="249"/>
    </row>
    <row r="3" spans="1:46" ht="14.95" customHeight="1" thickBot="1" x14ac:dyDescent="0.35">
      <c r="A3" s="191">
        <v>43862</v>
      </c>
      <c r="B3" s="192" t="s">
        <v>46</v>
      </c>
      <c r="C3" s="192" t="s">
        <v>33</v>
      </c>
      <c r="D3" s="192" t="s">
        <v>114</v>
      </c>
      <c r="E3" s="193" t="s">
        <v>1</v>
      </c>
      <c r="F3" s="193">
        <v>42</v>
      </c>
      <c r="G3" s="193">
        <v>0</v>
      </c>
      <c r="H3" s="193">
        <v>1</v>
      </c>
      <c r="I3" s="193">
        <v>0</v>
      </c>
      <c r="J3" s="193">
        <v>5</v>
      </c>
      <c r="K3" s="193">
        <v>4</v>
      </c>
      <c r="L3" s="193">
        <v>0</v>
      </c>
      <c r="M3" s="193">
        <v>3</v>
      </c>
      <c r="N3" s="193">
        <v>0</v>
      </c>
      <c r="O3" s="193">
        <v>0</v>
      </c>
      <c r="P3" s="193">
        <v>0</v>
      </c>
      <c r="Q3" s="193">
        <v>0</v>
      </c>
      <c r="R3" s="193">
        <v>0</v>
      </c>
      <c r="S3" s="205">
        <v>68582</v>
      </c>
      <c r="T3" s="312" t="s">
        <v>210</v>
      </c>
      <c r="U3" s="206" t="s">
        <v>125</v>
      </c>
      <c r="V3" s="205" t="s">
        <v>218</v>
      </c>
      <c r="W3" s="194" t="s">
        <v>152</v>
      </c>
      <c r="X3" s="207" t="s">
        <v>207</v>
      </c>
      <c r="Y3" s="208">
        <v>1</v>
      </c>
      <c r="Z3" s="208">
        <v>1</v>
      </c>
      <c r="AA3" s="208">
        <v>0</v>
      </c>
      <c r="AB3" s="209">
        <v>0</v>
      </c>
      <c r="AC3" s="208">
        <v>1</v>
      </c>
      <c r="AD3" s="208">
        <v>1</v>
      </c>
      <c r="AE3" s="208">
        <v>0</v>
      </c>
      <c r="AF3" s="209">
        <v>0</v>
      </c>
      <c r="AG3" s="208">
        <v>0</v>
      </c>
      <c r="AH3" s="208">
        <v>0</v>
      </c>
      <c r="AI3" s="208">
        <v>0</v>
      </c>
      <c r="AJ3" s="209">
        <v>0</v>
      </c>
      <c r="AK3" s="208">
        <v>0</v>
      </c>
      <c r="AL3" s="208">
        <v>0</v>
      </c>
      <c r="AM3" s="208">
        <v>0</v>
      </c>
      <c r="AN3" s="209">
        <v>0</v>
      </c>
      <c r="AP3" s="501" t="s">
        <v>170</v>
      </c>
      <c r="AQ3" s="502">
        <f>Walesalltestshistplayed</f>
        <v>743</v>
      </c>
      <c r="AS3" s="501" t="s">
        <v>170</v>
      </c>
      <c r="AT3" s="502">
        <f>WalesRWChistplayed</f>
        <v>44</v>
      </c>
    </row>
    <row r="4" spans="1:46" ht="14.95" customHeight="1" thickBot="1" x14ac:dyDescent="0.3">
      <c r="A4" s="183">
        <v>43869</v>
      </c>
      <c r="B4" s="174" t="s">
        <v>46</v>
      </c>
      <c r="C4" s="174" t="s">
        <v>39</v>
      </c>
      <c r="D4" s="174" t="s">
        <v>117</v>
      </c>
      <c r="E4" s="175" t="s">
        <v>3</v>
      </c>
      <c r="F4" s="175">
        <v>14</v>
      </c>
      <c r="G4" s="175">
        <v>24</v>
      </c>
      <c r="H4" s="175">
        <v>0</v>
      </c>
      <c r="I4" s="175">
        <v>0</v>
      </c>
      <c r="J4" s="175">
        <v>2</v>
      </c>
      <c r="K4" s="175">
        <v>2</v>
      </c>
      <c r="L4" s="175">
        <v>0</v>
      </c>
      <c r="M4" s="175">
        <v>0</v>
      </c>
      <c r="N4" s="175">
        <v>0</v>
      </c>
      <c r="O4" s="175">
        <v>0</v>
      </c>
      <c r="P4" s="175">
        <v>1</v>
      </c>
      <c r="Q4" s="175">
        <v>0</v>
      </c>
      <c r="R4" s="175">
        <v>4</v>
      </c>
      <c r="S4" s="176">
        <v>51700</v>
      </c>
      <c r="T4" s="219" t="s">
        <v>138</v>
      </c>
      <c r="U4" s="177" t="s">
        <v>122</v>
      </c>
      <c r="V4" s="176" t="s">
        <v>128</v>
      </c>
      <c r="W4" s="178" t="s">
        <v>125</v>
      </c>
      <c r="X4" s="179" t="s">
        <v>207</v>
      </c>
      <c r="Y4" s="180">
        <v>1</v>
      </c>
      <c r="Z4" s="180">
        <v>0</v>
      </c>
      <c r="AA4" s="180">
        <v>0</v>
      </c>
      <c r="AB4" s="181">
        <v>1</v>
      </c>
      <c r="AC4" s="180">
        <v>0</v>
      </c>
      <c r="AD4" s="180">
        <v>0</v>
      </c>
      <c r="AE4" s="180">
        <v>0</v>
      </c>
      <c r="AF4" s="181">
        <v>0</v>
      </c>
      <c r="AG4" s="180">
        <v>1</v>
      </c>
      <c r="AH4" s="180">
        <v>0</v>
      </c>
      <c r="AI4" s="180">
        <v>0</v>
      </c>
      <c r="AJ4" s="181">
        <v>1</v>
      </c>
      <c r="AK4" s="180">
        <v>0</v>
      </c>
      <c r="AL4" s="180">
        <v>0</v>
      </c>
      <c r="AM4" s="180">
        <v>0</v>
      </c>
      <c r="AN4" s="181">
        <v>0</v>
      </c>
      <c r="AP4" s="503" t="s">
        <v>171</v>
      </c>
      <c r="AQ4" s="504">
        <f>Walesalltestshistwon</f>
        <v>388</v>
      </c>
      <c r="AS4" s="503" t="s">
        <v>171</v>
      </c>
      <c r="AT4" s="504">
        <f>WalesRWChistwon</f>
        <v>26</v>
      </c>
    </row>
    <row r="5" spans="1:46" ht="14.95" customHeight="1" thickBot="1" x14ac:dyDescent="0.3">
      <c r="A5" s="191">
        <v>43883</v>
      </c>
      <c r="B5" s="192" t="s">
        <v>46</v>
      </c>
      <c r="C5" s="192" t="s">
        <v>34</v>
      </c>
      <c r="D5" s="192" t="s">
        <v>114</v>
      </c>
      <c r="E5" s="193" t="s">
        <v>3</v>
      </c>
      <c r="F5" s="193">
        <v>23</v>
      </c>
      <c r="G5" s="193">
        <v>27</v>
      </c>
      <c r="H5" s="193">
        <v>0</v>
      </c>
      <c r="I5" s="193">
        <v>1</v>
      </c>
      <c r="J5" s="193">
        <v>2</v>
      </c>
      <c r="K5" s="193">
        <v>2</v>
      </c>
      <c r="L5" s="193">
        <v>0</v>
      </c>
      <c r="M5" s="193">
        <v>3</v>
      </c>
      <c r="N5" s="193">
        <v>0</v>
      </c>
      <c r="O5" s="193">
        <v>0</v>
      </c>
      <c r="P5" s="193">
        <v>0</v>
      </c>
      <c r="Q5" s="193">
        <v>0</v>
      </c>
      <c r="R5" s="193">
        <v>3</v>
      </c>
      <c r="S5" s="205">
        <v>73931</v>
      </c>
      <c r="T5" s="218" t="s">
        <v>266</v>
      </c>
      <c r="U5" s="206" t="s">
        <v>152</v>
      </c>
      <c r="V5" s="205" t="s">
        <v>142</v>
      </c>
      <c r="W5" s="194" t="s">
        <v>124</v>
      </c>
      <c r="X5" s="207" t="s">
        <v>267</v>
      </c>
      <c r="Y5" s="208">
        <v>1</v>
      </c>
      <c r="Z5" s="208">
        <v>0</v>
      </c>
      <c r="AA5" s="208">
        <v>0</v>
      </c>
      <c r="AB5" s="209">
        <v>1</v>
      </c>
      <c r="AC5" s="208">
        <v>1</v>
      </c>
      <c r="AD5" s="208">
        <v>0</v>
      </c>
      <c r="AE5" s="208">
        <v>0</v>
      </c>
      <c r="AF5" s="209">
        <v>1</v>
      </c>
      <c r="AG5" s="208">
        <v>0</v>
      </c>
      <c r="AH5" s="208">
        <v>0</v>
      </c>
      <c r="AI5" s="208">
        <v>0</v>
      </c>
      <c r="AJ5" s="209">
        <v>0</v>
      </c>
      <c r="AK5" s="208">
        <v>0</v>
      </c>
      <c r="AL5" s="208">
        <v>0</v>
      </c>
      <c r="AM5" s="208">
        <v>0</v>
      </c>
      <c r="AN5" s="209">
        <v>0</v>
      </c>
      <c r="AP5" s="503" t="s">
        <v>177</v>
      </c>
      <c r="AQ5" s="504">
        <f>Walesalltestshistdrawn</f>
        <v>29</v>
      </c>
      <c r="AS5" s="503" t="s">
        <v>177</v>
      </c>
      <c r="AT5" s="504">
        <f>WalesRWChistdrawn</f>
        <v>0</v>
      </c>
    </row>
    <row r="6" spans="1:46" ht="14.95" customHeight="1" thickBot="1" x14ac:dyDescent="0.3">
      <c r="A6" s="183">
        <v>43897</v>
      </c>
      <c r="B6" s="174" t="s">
        <v>46</v>
      </c>
      <c r="C6" s="174" t="s">
        <v>30</v>
      </c>
      <c r="D6" s="174" t="s">
        <v>118</v>
      </c>
      <c r="E6" s="175" t="s">
        <v>3</v>
      </c>
      <c r="F6" s="175">
        <v>30</v>
      </c>
      <c r="G6" s="175">
        <v>33</v>
      </c>
      <c r="H6" s="175">
        <v>0</v>
      </c>
      <c r="I6" s="175">
        <v>1</v>
      </c>
      <c r="J6" s="175">
        <v>3</v>
      </c>
      <c r="K6" s="175">
        <v>3</v>
      </c>
      <c r="L6" s="175">
        <v>0</v>
      </c>
      <c r="M6" s="175">
        <v>3</v>
      </c>
      <c r="N6" s="175">
        <v>0</v>
      </c>
      <c r="O6" s="175">
        <v>0</v>
      </c>
      <c r="P6" s="175">
        <v>0</v>
      </c>
      <c r="Q6" s="175">
        <v>0</v>
      </c>
      <c r="R6" s="175">
        <v>3</v>
      </c>
      <c r="S6" s="176">
        <v>82000</v>
      </c>
      <c r="T6" s="219" t="s">
        <v>205</v>
      </c>
      <c r="U6" s="177" t="s">
        <v>150</v>
      </c>
      <c r="V6" s="176" t="s">
        <v>148</v>
      </c>
      <c r="W6" s="178" t="s">
        <v>122</v>
      </c>
      <c r="X6" s="179" t="s">
        <v>388</v>
      </c>
      <c r="Y6" s="180">
        <v>1</v>
      </c>
      <c r="Z6" s="180">
        <v>0</v>
      </c>
      <c r="AA6" s="180">
        <v>0</v>
      </c>
      <c r="AB6" s="181">
        <v>1</v>
      </c>
      <c r="AC6" s="180">
        <v>0</v>
      </c>
      <c r="AD6" s="180">
        <v>0</v>
      </c>
      <c r="AE6" s="180">
        <v>0</v>
      </c>
      <c r="AF6" s="181">
        <v>0</v>
      </c>
      <c r="AG6" s="180">
        <v>1</v>
      </c>
      <c r="AH6" s="180">
        <v>0</v>
      </c>
      <c r="AI6" s="180">
        <v>0</v>
      </c>
      <c r="AJ6" s="181">
        <v>1</v>
      </c>
      <c r="AK6" s="180">
        <v>0</v>
      </c>
      <c r="AL6" s="180">
        <v>0</v>
      </c>
      <c r="AM6" s="180">
        <v>0</v>
      </c>
      <c r="AN6" s="181">
        <v>0</v>
      </c>
      <c r="AP6" s="503" t="s">
        <v>172</v>
      </c>
      <c r="AQ6" s="504">
        <f>Walesalltestshistlost</f>
        <v>326</v>
      </c>
      <c r="AS6" s="503" t="s">
        <v>172</v>
      </c>
      <c r="AT6" s="504">
        <f>WalesRWChistlost</f>
        <v>18</v>
      </c>
    </row>
    <row r="7" spans="1:46" ht="14.95" customHeight="1" thickBot="1" x14ac:dyDescent="0.3">
      <c r="A7" s="183">
        <v>44127</v>
      </c>
      <c r="B7" s="174" t="s">
        <v>45</v>
      </c>
      <c r="C7" s="174" t="s">
        <v>34</v>
      </c>
      <c r="D7" s="174" t="s">
        <v>115</v>
      </c>
      <c r="E7" s="175" t="s">
        <v>3</v>
      </c>
      <c r="F7" s="175">
        <v>21</v>
      </c>
      <c r="G7" s="175">
        <v>38</v>
      </c>
      <c r="H7" s="175" t="s">
        <v>107</v>
      </c>
      <c r="I7" s="175" t="s">
        <v>107</v>
      </c>
      <c r="J7" s="175">
        <v>2</v>
      </c>
      <c r="K7" s="175">
        <v>1</v>
      </c>
      <c r="L7" s="175">
        <v>0</v>
      </c>
      <c r="M7" s="175">
        <v>3</v>
      </c>
      <c r="N7" s="175">
        <v>0</v>
      </c>
      <c r="O7" s="175">
        <v>0</v>
      </c>
      <c r="P7" s="175" t="s">
        <v>107</v>
      </c>
      <c r="Q7" s="175" t="s">
        <v>107</v>
      </c>
      <c r="R7" s="175">
        <v>5</v>
      </c>
      <c r="S7" s="176">
        <v>0</v>
      </c>
      <c r="T7" s="219" t="s">
        <v>402</v>
      </c>
      <c r="U7" s="177" t="s">
        <v>400</v>
      </c>
      <c r="V7" s="176" t="s">
        <v>242</v>
      </c>
      <c r="W7" s="178" t="s">
        <v>154</v>
      </c>
      <c r="X7" s="179" t="s">
        <v>401</v>
      </c>
      <c r="Y7" s="180">
        <v>1</v>
      </c>
      <c r="Z7" s="180">
        <v>0</v>
      </c>
      <c r="AA7" s="180">
        <v>0</v>
      </c>
      <c r="AB7" s="181">
        <v>1</v>
      </c>
      <c r="AC7" s="180">
        <v>0</v>
      </c>
      <c r="AD7" s="180">
        <v>0</v>
      </c>
      <c r="AE7" s="180">
        <v>0</v>
      </c>
      <c r="AF7" s="181">
        <v>0</v>
      </c>
      <c r="AG7" s="180">
        <v>1</v>
      </c>
      <c r="AH7" s="180">
        <v>0</v>
      </c>
      <c r="AI7" s="180">
        <v>0</v>
      </c>
      <c r="AJ7" s="181">
        <v>1</v>
      </c>
      <c r="AK7" s="180">
        <v>0</v>
      </c>
      <c r="AL7" s="180">
        <v>0</v>
      </c>
      <c r="AM7" s="180">
        <v>0</v>
      </c>
      <c r="AN7" s="181">
        <v>0</v>
      </c>
      <c r="AP7" s="503" t="s">
        <v>178</v>
      </c>
      <c r="AQ7" s="504">
        <f>Walesalltestshistptsscored</f>
        <v>12884</v>
      </c>
      <c r="AS7" s="503" t="s">
        <v>178</v>
      </c>
      <c r="AT7" s="504">
        <f>WalesRWChistptsscored</f>
        <v>1238</v>
      </c>
    </row>
    <row r="8" spans="1:46" ht="14.95" customHeight="1" thickBot="1" x14ac:dyDescent="0.3">
      <c r="A8" s="191">
        <v>44135</v>
      </c>
      <c r="B8" s="192" t="s">
        <v>46</v>
      </c>
      <c r="C8" s="192" t="s">
        <v>35</v>
      </c>
      <c r="D8" s="192" t="s">
        <v>363</v>
      </c>
      <c r="E8" s="193" t="s">
        <v>3</v>
      </c>
      <c r="F8" s="193">
        <v>10</v>
      </c>
      <c r="G8" s="193">
        <v>14</v>
      </c>
      <c r="H8" s="193">
        <v>0</v>
      </c>
      <c r="I8" s="193">
        <v>1</v>
      </c>
      <c r="J8" s="193">
        <v>1</v>
      </c>
      <c r="K8" s="193">
        <v>1</v>
      </c>
      <c r="L8" s="193">
        <v>0</v>
      </c>
      <c r="M8" s="193">
        <v>1</v>
      </c>
      <c r="N8" s="193">
        <v>0</v>
      </c>
      <c r="O8" s="193">
        <v>0</v>
      </c>
      <c r="P8" s="193">
        <v>0</v>
      </c>
      <c r="Q8" s="193">
        <v>0</v>
      </c>
      <c r="R8" s="193">
        <v>1</v>
      </c>
      <c r="S8" s="205">
        <v>0</v>
      </c>
      <c r="T8" s="218" t="s">
        <v>410</v>
      </c>
      <c r="U8" s="206" t="s">
        <v>121</v>
      </c>
      <c r="V8" s="205" t="s">
        <v>157</v>
      </c>
      <c r="W8" s="205" t="s">
        <v>127</v>
      </c>
      <c r="X8" s="205" t="s">
        <v>392</v>
      </c>
      <c r="Y8" s="208">
        <v>1</v>
      </c>
      <c r="Z8" s="208">
        <v>0</v>
      </c>
      <c r="AA8" s="208">
        <v>0</v>
      </c>
      <c r="AB8" s="209">
        <v>1</v>
      </c>
      <c r="AC8" s="208">
        <v>1</v>
      </c>
      <c r="AD8" s="208">
        <v>0</v>
      </c>
      <c r="AE8" s="208">
        <v>0</v>
      </c>
      <c r="AF8" s="209">
        <v>1</v>
      </c>
      <c r="AG8" s="208">
        <v>0</v>
      </c>
      <c r="AH8" s="208">
        <v>0</v>
      </c>
      <c r="AI8" s="208">
        <v>0</v>
      </c>
      <c r="AJ8" s="209">
        <v>0</v>
      </c>
      <c r="AK8" s="208">
        <v>0</v>
      </c>
      <c r="AL8" s="208">
        <v>0</v>
      </c>
      <c r="AM8" s="208">
        <v>0</v>
      </c>
      <c r="AN8" s="209">
        <v>0</v>
      </c>
      <c r="AP8" s="503" t="s">
        <v>179</v>
      </c>
      <c r="AQ8" s="504">
        <f>Walesalltestshistptscon</f>
        <v>11297</v>
      </c>
      <c r="AS8" s="503" t="s">
        <v>179</v>
      </c>
      <c r="AT8" s="504">
        <f>WalesRWChistptscon</f>
        <v>865</v>
      </c>
    </row>
    <row r="9" spans="1:46" ht="14.95" customHeight="1" thickBot="1" x14ac:dyDescent="0.3">
      <c r="A9" s="183">
        <v>44148</v>
      </c>
      <c r="B9" s="174" t="s">
        <v>362</v>
      </c>
      <c r="C9" s="174" t="s">
        <v>39</v>
      </c>
      <c r="D9" s="174" t="s">
        <v>117</v>
      </c>
      <c r="E9" s="175" t="s">
        <v>3</v>
      </c>
      <c r="F9" s="175">
        <v>9</v>
      </c>
      <c r="G9" s="175">
        <v>32</v>
      </c>
      <c r="H9" s="175">
        <v>0</v>
      </c>
      <c r="I9" s="175">
        <v>0</v>
      </c>
      <c r="J9" s="175">
        <v>0</v>
      </c>
      <c r="K9" s="175">
        <v>0</v>
      </c>
      <c r="L9" s="175">
        <v>0</v>
      </c>
      <c r="M9" s="175">
        <v>3</v>
      </c>
      <c r="N9" s="175">
        <v>0</v>
      </c>
      <c r="O9" s="175">
        <v>0</v>
      </c>
      <c r="P9" s="175">
        <v>0</v>
      </c>
      <c r="Q9" s="175">
        <v>0</v>
      </c>
      <c r="R9" s="175">
        <v>2</v>
      </c>
      <c r="S9" s="176">
        <v>0</v>
      </c>
      <c r="T9" s="219" t="s">
        <v>454</v>
      </c>
      <c r="U9" s="177" t="s">
        <v>127</v>
      </c>
      <c r="V9" s="176" t="s">
        <v>122</v>
      </c>
      <c r="W9" s="176" t="s">
        <v>136</v>
      </c>
      <c r="X9" s="196" t="s">
        <v>388</v>
      </c>
      <c r="Y9" s="180">
        <v>1</v>
      </c>
      <c r="Z9" s="180">
        <v>0</v>
      </c>
      <c r="AA9" s="180">
        <v>0</v>
      </c>
      <c r="AB9" s="181">
        <v>1</v>
      </c>
      <c r="AC9" s="180">
        <v>0</v>
      </c>
      <c r="AD9" s="180">
        <v>0</v>
      </c>
      <c r="AE9" s="180">
        <v>0</v>
      </c>
      <c r="AF9" s="181">
        <v>0</v>
      </c>
      <c r="AG9" s="180">
        <v>1</v>
      </c>
      <c r="AH9" s="180">
        <v>0</v>
      </c>
      <c r="AI9" s="180">
        <v>0</v>
      </c>
      <c r="AJ9" s="181">
        <v>1</v>
      </c>
      <c r="AK9" s="180">
        <v>0</v>
      </c>
      <c r="AL9" s="180">
        <v>0</v>
      </c>
      <c r="AM9" s="180">
        <v>0</v>
      </c>
      <c r="AN9" s="181">
        <v>0</v>
      </c>
      <c r="AP9" s="503" t="s">
        <v>169</v>
      </c>
      <c r="AQ9" s="504">
        <f>Walesalltestshisttriesscored</f>
        <v>1618</v>
      </c>
      <c r="AS9" s="503" t="s">
        <v>169</v>
      </c>
      <c r="AT9" s="504">
        <f>WalesRWChisttriesscored</f>
        <v>149</v>
      </c>
    </row>
    <row r="10" spans="1:46" ht="14.95" customHeight="1" thickBot="1" x14ac:dyDescent="0.35">
      <c r="A10" s="183">
        <v>44156</v>
      </c>
      <c r="B10" s="174" t="s">
        <v>362</v>
      </c>
      <c r="C10" s="174" t="s">
        <v>38</v>
      </c>
      <c r="D10" s="174" t="s">
        <v>363</v>
      </c>
      <c r="E10" s="175" t="s">
        <v>1</v>
      </c>
      <c r="F10" s="175">
        <v>18</v>
      </c>
      <c r="G10" s="175">
        <v>0</v>
      </c>
      <c r="H10" s="175">
        <v>0</v>
      </c>
      <c r="I10" s="175">
        <v>0</v>
      </c>
      <c r="J10" s="175">
        <v>2</v>
      </c>
      <c r="K10" s="175">
        <v>1</v>
      </c>
      <c r="L10" s="175">
        <v>0</v>
      </c>
      <c r="M10" s="175">
        <v>2</v>
      </c>
      <c r="N10" s="175">
        <v>0</v>
      </c>
      <c r="O10" s="175">
        <v>0</v>
      </c>
      <c r="P10" s="175">
        <v>0</v>
      </c>
      <c r="Q10" s="175">
        <v>0</v>
      </c>
      <c r="R10" s="175">
        <v>0</v>
      </c>
      <c r="S10" s="176">
        <v>0</v>
      </c>
      <c r="T10" s="346" t="s">
        <v>480</v>
      </c>
      <c r="U10" s="177" t="s">
        <v>125</v>
      </c>
      <c r="V10" s="176" t="s">
        <v>481</v>
      </c>
      <c r="W10" s="177" t="s">
        <v>121</v>
      </c>
      <c r="X10" s="176" t="s">
        <v>154</v>
      </c>
      <c r="Y10" s="180">
        <v>1</v>
      </c>
      <c r="Z10" s="180">
        <v>1</v>
      </c>
      <c r="AA10" s="180">
        <v>0</v>
      </c>
      <c r="AB10" s="181">
        <v>0</v>
      </c>
      <c r="AC10" s="180">
        <v>1</v>
      </c>
      <c r="AD10" s="180">
        <v>1</v>
      </c>
      <c r="AE10" s="180">
        <v>0</v>
      </c>
      <c r="AF10" s="181">
        <v>0</v>
      </c>
      <c r="AG10" s="180">
        <v>0</v>
      </c>
      <c r="AH10" s="180">
        <v>0</v>
      </c>
      <c r="AI10" s="180">
        <v>0</v>
      </c>
      <c r="AJ10" s="181">
        <v>0</v>
      </c>
      <c r="AK10" s="180">
        <v>0</v>
      </c>
      <c r="AL10" s="180">
        <v>0</v>
      </c>
      <c r="AM10" s="180">
        <v>0</v>
      </c>
      <c r="AN10" s="181">
        <v>0</v>
      </c>
    </row>
    <row r="11" spans="1:46" ht="14.95" customHeight="1" thickBot="1" x14ac:dyDescent="0.3">
      <c r="A11" s="191">
        <v>44163</v>
      </c>
      <c r="B11" s="192" t="s">
        <v>362</v>
      </c>
      <c r="C11" s="192" t="s">
        <v>30</v>
      </c>
      <c r="D11" s="192" t="s">
        <v>363</v>
      </c>
      <c r="E11" s="193" t="s">
        <v>3</v>
      </c>
      <c r="F11" s="193">
        <v>13</v>
      </c>
      <c r="G11" s="193">
        <v>24</v>
      </c>
      <c r="H11" s="193">
        <v>0</v>
      </c>
      <c r="I11" s="193">
        <v>0</v>
      </c>
      <c r="J11" s="193">
        <v>1</v>
      </c>
      <c r="K11" s="193">
        <v>1</v>
      </c>
      <c r="L11" s="193">
        <v>0</v>
      </c>
      <c r="M11" s="193">
        <v>2</v>
      </c>
      <c r="N11" s="193">
        <v>0</v>
      </c>
      <c r="O11" s="193">
        <v>0</v>
      </c>
      <c r="P11" s="193">
        <v>0</v>
      </c>
      <c r="Q11" s="193">
        <v>0</v>
      </c>
      <c r="R11" s="193">
        <v>2</v>
      </c>
      <c r="S11" s="205">
        <v>0</v>
      </c>
      <c r="T11" s="218" t="s">
        <v>460</v>
      </c>
      <c r="U11" s="206" t="s">
        <v>122</v>
      </c>
      <c r="V11" s="205" t="s">
        <v>242</v>
      </c>
      <c r="W11" s="194" t="s">
        <v>136</v>
      </c>
      <c r="X11" s="207" t="s">
        <v>388</v>
      </c>
      <c r="Y11" s="208">
        <v>1</v>
      </c>
      <c r="Z11" s="208">
        <v>0</v>
      </c>
      <c r="AA11" s="208">
        <v>0</v>
      </c>
      <c r="AB11" s="209">
        <v>1</v>
      </c>
      <c r="AC11" s="208">
        <v>1</v>
      </c>
      <c r="AD11" s="208">
        <v>0</v>
      </c>
      <c r="AE11" s="208">
        <v>0</v>
      </c>
      <c r="AF11" s="209">
        <v>1</v>
      </c>
      <c r="AG11" s="208">
        <v>0</v>
      </c>
      <c r="AH11" s="208">
        <v>0</v>
      </c>
      <c r="AI11" s="208">
        <v>0</v>
      </c>
      <c r="AJ11" s="209">
        <v>0</v>
      </c>
      <c r="AK11" s="208">
        <v>0</v>
      </c>
      <c r="AL11" s="208">
        <v>0</v>
      </c>
      <c r="AM11" s="208">
        <v>0</v>
      </c>
      <c r="AN11" s="209">
        <v>0</v>
      </c>
    </row>
    <row r="12" spans="1:46" ht="14.95" customHeight="1" thickBot="1" x14ac:dyDescent="0.35">
      <c r="A12" s="191">
        <v>44170</v>
      </c>
      <c r="B12" s="192" t="s">
        <v>362</v>
      </c>
      <c r="C12" s="192" t="s">
        <v>33</v>
      </c>
      <c r="D12" s="192" t="s">
        <v>363</v>
      </c>
      <c r="E12" s="193" t="s">
        <v>1</v>
      </c>
      <c r="F12" s="193">
        <v>38</v>
      </c>
      <c r="G12" s="193">
        <v>18</v>
      </c>
      <c r="H12" s="193" t="s">
        <v>107</v>
      </c>
      <c r="I12" s="193" t="s">
        <v>107</v>
      </c>
      <c r="J12" s="193">
        <v>5</v>
      </c>
      <c r="K12" s="193">
        <v>5</v>
      </c>
      <c r="L12" s="193">
        <v>0</v>
      </c>
      <c r="M12" s="193">
        <v>1</v>
      </c>
      <c r="N12" s="193">
        <v>1</v>
      </c>
      <c r="O12" s="193">
        <v>0</v>
      </c>
      <c r="P12" s="193" t="s">
        <v>107</v>
      </c>
      <c r="Q12" s="193" t="s">
        <v>107</v>
      </c>
      <c r="R12" s="193">
        <v>2</v>
      </c>
      <c r="S12" s="194">
        <v>0</v>
      </c>
      <c r="T12" s="363" t="s">
        <v>508</v>
      </c>
      <c r="U12" s="194" t="s">
        <v>124</v>
      </c>
      <c r="V12" s="194" t="s">
        <v>136</v>
      </c>
      <c r="W12" s="194" t="s">
        <v>125</v>
      </c>
      <c r="X12" s="207" t="s">
        <v>388</v>
      </c>
      <c r="Y12" s="208">
        <v>1</v>
      </c>
      <c r="Z12" s="208">
        <v>1</v>
      </c>
      <c r="AA12" s="208">
        <v>0</v>
      </c>
      <c r="AB12" s="209">
        <v>0</v>
      </c>
      <c r="AC12" s="208">
        <v>1</v>
      </c>
      <c r="AD12" s="208">
        <v>1</v>
      </c>
      <c r="AE12" s="208">
        <v>0</v>
      </c>
      <c r="AF12" s="209">
        <v>0</v>
      </c>
      <c r="AG12" s="208">
        <v>0</v>
      </c>
      <c r="AH12" s="208">
        <v>0</v>
      </c>
      <c r="AI12" s="208">
        <v>0</v>
      </c>
      <c r="AJ12" s="209">
        <v>0</v>
      </c>
      <c r="AK12" s="208">
        <v>0</v>
      </c>
      <c r="AL12" s="208">
        <v>0</v>
      </c>
      <c r="AM12" s="208">
        <v>0</v>
      </c>
      <c r="AN12" s="209">
        <v>0</v>
      </c>
    </row>
    <row r="13" spans="1:46" ht="15.8" customHeight="1" thickBot="1" x14ac:dyDescent="0.3">
      <c r="A13" s="387"/>
      <c r="B13" s="388"/>
      <c r="C13" s="769" t="s">
        <v>110</v>
      </c>
      <c r="D13" s="770"/>
      <c r="E13" s="771"/>
      <c r="F13" s="386">
        <f>SUM(F3+F4+F5+F6+F8)</f>
        <v>119</v>
      </c>
      <c r="G13" s="386">
        <f t="shared" ref="G13:R13" si="0">SUM(G3+G4+G5+G6+G8)</f>
        <v>98</v>
      </c>
      <c r="H13" s="386">
        <f t="shared" si="0"/>
        <v>1</v>
      </c>
      <c r="I13" s="386">
        <f t="shared" si="0"/>
        <v>3</v>
      </c>
      <c r="J13" s="386">
        <f t="shared" si="0"/>
        <v>13</v>
      </c>
      <c r="K13" s="386">
        <f t="shared" si="0"/>
        <v>12</v>
      </c>
      <c r="L13" s="386">
        <f t="shared" si="0"/>
        <v>0</v>
      </c>
      <c r="M13" s="386">
        <f t="shared" si="0"/>
        <v>10</v>
      </c>
      <c r="N13" s="386">
        <f t="shared" si="0"/>
        <v>0</v>
      </c>
      <c r="O13" s="386">
        <f t="shared" si="0"/>
        <v>0</v>
      </c>
      <c r="P13" s="386">
        <f t="shared" si="0"/>
        <v>1</v>
      </c>
      <c r="Q13" s="386">
        <f t="shared" si="0"/>
        <v>0</v>
      </c>
      <c r="R13" s="386">
        <f t="shared" si="0"/>
        <v>11</v>
      </c>
      <c r="W13" s="383"/>
      <c r="X13" s="612" t="s">
        <v>110</v>
      </c>
      <c r="Y13" s="386">
        <f t="shared" ref="Y13:AN13" si="1">SUM(Y3+Y4+Y5+Y6+Y8)</f>
        <v>5</v>
      </c>
      <c r="Z13" s="386">
        <f t="shared" si="1"/>
        <v>1</v>
      </c>
      <c r="AA13" s="386">
        <f t="shared" si="1"/>
        <v>0</v>
      </c>
      <c r="AB13" s="386">
        <f t="shared" si="1"/>
        <v>4</v>
      </c>
      <c r="AC13" s="384">
        <f t="shared" si="1"/>
        <v>3</v>
      </c>
      <c r="AD13" s="384">
        <f t="shared" si="1"/>
        <v>1</v>
      </c>
      <c r="AE13" s="384">
        <f t="shared" si="1"/>
        <v>0</v>
      </c>
      <c r="AF13" s="384">
        <f t="shared" si="1"/>
        <v>2</v>
      </c>
      <c r="AG13" s="385">
        <f t="shared" si="1"/>
        <v>2</v>
      </c>
      <c r="AH13" s="385">
        <f t="shared" si="1"/>
        <v>0</v>
      </c>
      <c r="AI13" s="385">
        <f t="shared" si="1"/>
        <v>0</v>
      </c>
      <c r="AJ13" s="385">
        <f t="shared" si="1"/>
        <v>2</v>
      </c>
      <c r="AK13" s="386">
        <f t="shared" si="1"/>
        <v>0</v>
      </c>
      <c r="AL13" s="386">
        <f t="shared" si="1"/>
        <v>0</v>
      </c>
      <c r="AM13" s="386">
        <f t="shared" si="1"/>
        <v>0</v>
      </c>
      <c r="AN13" s="386">
        <f t="shared" si="1"/>
        <v>0</v>
      </c>
    </row>
    <row r="14" spans="1:46" ht="15.8" customHeight="1" thickBot="1" x14ac:dyDescent="0.3">
      <c r="A14" s="387"/>
      <c r="B14" s="388"/>
      <c r="C14" s="763" t="s">
        <v>373</v>
      </c>
      <c r="D14" s="808"/>
      <c r="E14" s="809"/>
      <c r="F14" s="399">
        <f>F7</f>
        <v>21</v>
      </c>
      <c r="G14" s="399">
        <f>G7</f>
        <v>38</v>
      </c>
      <c r="H14" s="399" t="s">
        <v>107</v>
      </c>
      <c r="I14" s="399" t="s">
        <v>107</v>
      </c>
      <c r="J14" s="399">
        <f t="shared" ref="J14:O14" si="2">J7</f>
        <v>2</v>
      </c>
      <c r="K14" s="399">
        <f t="shared" si="2"/>
        <v>1</v>
      </c>
      <c r="L14" s="399">
        <f t="shared" si="2"/>
        <v>0</v>
      </c>
      <c r="M14" s="399">
        <f t="shared" si="2"/>
        <v>3</v>
      </c>
      <c r="N14" s="399">
        <f t="shared" si="2"/>
        <v>0</v>
      </c>
      <c r="O14" s="399">
        <f t="shared" si="2"/>
        <v>0</v>
      </c>
      <c r="P14" s="399" t="s">
        <v>107</v>
      </c>
      <c r="Q14" s="399" t="s">
        <v>107</v>
      </c>
      <c r="R14" s="399">
        <f>R7</f>
        <v>5</v>
      </c>
      <c r="S14" s="395"/>
      <c r="T14" s="395"/>
      <c r="U14" s="395"/>
      <c r="V14" s="395"/>
      <c r="W14" s="396"/>
      <c r="X14" s="601" t="s">
        <v>373</v>
      </c>
      <c r="Y14" s="399">
        <f t="shared" ref="Y14:AN14" si="3">Y7</f>
        <v>1</v>
      </c>
      <c r="Z14" s="399">
        <f t="shared" si="3"/>
        <v>0</v>
      </c>
      <c r="AA14" s="399">
        <f t="shared" si="3"/>
        <v>0</v>
      </c>
      <c r="AB14" s="399">
        <f t="shared" si="3"/>
        <v>1</v>
      </c>
      <c r="AC14" s="397">
        <f t="shared" si="3"/>
        <v>0</v>
      </c>
      <c r="AD14" s="397">
        <f t="shared" si="3"/>
        <v>0</v>
      </c>
      <c r="AE14" s="397">
        <f t="shared" si="3"/>
        <v>0</v>
      </c>
      <c r="AF14" s="397">
        <f t="shared" si="3"/>
        <v>0</v>
      </c>
      <c r="AG14" s="398">
        <f t="shared" si="3"/>
        <v>1</v>
      </c>
      <c r="AH14" s="398">
        <f t="shared" si="3"/>
        <v>0</v>
      </c>
      <c r="AI14" s="398">
        <f t="shared" si="3"/>
        <v>0</v>
      </c>
      <c r="AJ14" s="398">
        <f t="shared" si="3"/>
        <v>1</v>
      </c>
      <c r="AK14" s="399">
        <f t="shared" si="3"/>
        <v>0</v>
      </c>
      <c r="AL14" s="399">
        <f t="shared" si="3"/>
        <v>0</v>
      </c>
      <c r="AM14" s="399">
        <f t="shared" si="3"/>
        <v>0</v>
      </c>
      <c r="AN14" s="399">
        <f t="shared" si="3"/>
        <v>0</v>
      </c>
    </row>
    <row r="15" spans="1:46" ht="15.8" customHeight="1" thickBot="1" x14ac:dyDescent="0.3">
      <c r="A15" s="387"/>
      <c r="B15" s="388"/>
      <c r="C15" s="789" t="s">
        <v>372</v>
      </c>
      <c r="D15" s="810"/>
      <c r="E15" s="811"/>
      <c r="F15" s="613">
        <f>SUM(F9:F12)</f>
        <v>78</v>
      </c>
      <c r="G15" s="613">
        <f t="shared" ref="G15:R15" si="4">SUM(G9:G12)</f>
        <v>74</v>
      </c>
      <c r="H15" s="613">
        <f t="shared" si="4"/>
        <v>0</v>
      </c>
      <c r="I15" s="613">
        <f t="shared" si="4"/>
        <v>0</v>
      </c>
      <c r="J15" s="613">
        <f t="shared" si="4"/>
        <v>8</v>
      </c>
      <c r="K15" s="613">
        <f t="shared" si="4"/>
        <v>7</v>
      </c>
      <c r="L15" s="613">
        <f t="shared" si="4"/>
        <v>0</v>
      </c>
      <c r="M15" s="613">
        <f t="shared" si="4"/>
        <v>8</v>
      </c>
      <c r="N15" s="613">
        <f t="shared" si="4"/>
        <v>1</v>
      </c>
      <c r="O15" s="613">
        <f t="shared" si="4"/>
        <v>0</v>
      </c>
      <c r="P15" s="613">
        <f t="shared" si="4"/>
        <v>0</v>
      </c>
      <c r="Q15" s="613">
        <f t="shared" si="4"/>
        <v>0</v>
      </c>
      <c r="R15" s="613">
        <f t="shared" si="4"/>
        <v>6</v>
      </c>
      <c r="S15" s="614"/>
      <c r="T15" s="614"/>
      <c r="U15" s="614"/>
      <c r="V15" s="614"/>
      <c r="W15" s="615"/>
      <c r="X15" s="619" t="s">
        <v>372</v>
      </c>
      <c r="Y15" s="620">
        <f t="shared" ref="Y15:AN15" si="5">SUM(Y9:Y12)</f>
        <v>4</v>
      </c>
      <c r="Z15" s="621">
        <f t="shared" si="5"/>
        <v>2</v>
      </c>
      <c r="AA15" s="613">
        <f t="shared" si="5"/>
        <v>0</v>
      </c>
      <c r="AB15" s="613">
        <f t="shared" si="5"/>
        <v>2</v>
      </c>
      <c r="AC15" s="617">
        <f t="shared" si="5"/>
        <v>3</v>
      </c>
      <c r="AD15" s="617">
        <f t="shared" si="5"/>
        <v>2</v>
      </c>
      <c r="AE15" s="617">
        <f t="shared" si="5"/>
        <v>0</v>
      </c>
      <c r="AF15" s="617">
        <f t="shared" si="5"/>
        <v>1</v>
      </c>
      <c r="AG15" s="618">
        <f t="shared" si="5"/>
        <v>1</v>
      </c>
      <c r="AH15" s="618">
        <f t="shared" si="5"/>
        <v>0</v>
      </c>
      <c r="AI15" s="618">
        <f t="shared" si="5"/>
        <v>0</v>
      </c>
      <c r="AJ15" s="618">
        <f t="shared" si="5"/>
        <v>1</v>
      </c>
      <c r="AK15" s="613">
        <f t="shared" si="5"/>
        <v>0</v>
      </c>
      <c r="AL15" s="613">
        <f t="shared" si="5"/>
        <v>0</v>
      </c>
      <c r="AM15" s="613">
        <f t="shared" si="5"/>
        <v>0</v>
      </c>
      <c r="AN15" s="613">
        <f t="shared" si="5"/>
        <v>0</v>
      </c>
    </row>
    <row r="16" spans="1:46" ht="14.95" thickBot="1" x14ac:dyDescent="0.3">
      <c r="A16" s="387"/>
      <c r="B16" s="388"/>
      <c r="C16" s="732" t="s">
        <v>108</v>
      </c>
      <c r="D16" s="733"/>
      <c r="E16" s="734"/>
      <c r="F16" s="552">
        <f t="shared" ref="F16:R16" si="6">SUM(F3:F12)</f>
        <v>218</v>
      </c>
      <c r="G16" s="552">
        <f t="shared" si="6"/>
        <v>210</v>
      </c>
      <c r="H16" s="552">
        <f t="shared" si="6"/>
        <v>1</v>
      </c>
      <c r="I16" s="552">
        <f t="shared" si="6"/>
        <v>3</v>
      </c>
      <c r="J16" s="552">
        <f t="shared" si="6"/>
        <v>23</v>
      </c>
      <c r="K16" s="552">
        <f t="shared" si="6"/>
        <v>20</v>
      </c>
      <c r="L16" s="552">
        <f t="shared" si="6"/>
        <v>0</v>
      </c>
      <c r="M16" s="552">
        <f t="shared" si="6"/>
        <v>21</v>
      </c>
      <c r="N16" s="552">
        <f t="shared" si="6"/>
        <v>1</v>
      </c>
      <c r="O16" s="552">
        <f t="shared" si="6"/>
        <v>0</v>
      </c>
      <c r="P16" s="552">
        <f t="shared" si="6"/>
        <v>1</v>
      </c>
      <c r="Q16" s="552">
        <f t="shared" si="6"/>
        <v>0</v>
      </c>
      <c r="R16" s="552">
        <f t="shared" si="6"/>
        <v>22</v>
      </c>
      <c r="S16" s="548"/>
      <c r="T16" s="548"/>
      <c r="U16" s="548"/>
      <c r="V16" s="548"/>
      <c r="W16" s="13"/>
      <c r="X16" s="596" t="s">
        <v>108</v>
      </c>
      <c r="Y16" s="552">
        <f t="shared" ref="Y16:AN16" si="7">SUM(Y3:Y12)</f>
        <v>10</v>
      </c>
      <c r="Z16" s="552">
        <f t="shared" si="7"/>
        <v>3</v>
      </c>
      <c r="AA16" s="552">
        <f t="shared" si="7"/>
        <v>0</v>
      </c>
      <c r="AB16" s="552">
        <f t="shared" si="7"/>
        <v>7</v>
      </c>
      <c r="AC16" s="550">
        <f t="shared" si="7"/>
        <v>6</v>
      </c>
      <c r="AD16" s="550">
        <f t="shared" si="7"/>
        <v>3</v>
      </c>
      <c r="AE16" s="550">
        <f t="shared" si="7"/>
        <v>0</v>
      </c>
      <c r="AF16" s="550">
        <f t="shared" si="7"/>
        <v>3</v>
      </c>
      <c r="AG16" s="551">
        <f t="shared" si="7"/>
        <v>4</v>
      </c>
      <c r="AH16" s="551">
        <f t="shared" si="7"/>
        <v>0</v>
      </c>
      <c r="AI16" s="551">
        <f t="shared" si="7"/>
        <v>0</v>
      </c>
      <c r="AJ16" s="551">
        <f t="shared" si="7"/>
        <v>4</v>
      </c>
      <c r="AK16" s="552">
        <f t="shared" si="7"/>
        <v>0</v>
      </c>
      <c r="AL16" s="552">
        <f t="shared" si="7"/>
        <v>0</v>
      </c>
      <c r="AM16" s="552">
        <f t="shared" si="7"/>
        <v>0</v>
      </c>
      <c r="AN16" s="552">
        <f t="shared" si="7"/>
        <v>0</v>
      </c>
    </row>
    <row r="17" spans="1:40" x14ac:dyDescent="0.25">
      <c r="A17" s="806" t="s">
        <v>226</v>
      </c>
      <c r="B17" s="807"/>
      <c r="C17" s="807"/>
      <c r="D17" s="807"/>
      <c r="E17" s="807"/>
      <c r="F17" s="807"/>
      <c r="G17" s="807"/>
      <c r="H17" s="807"/>
      <c r="I17" s="807"/>
      <c r="J17" s="807"/>
      <c r="K17" s="807"/>
      <c r="L17" s="807"/>
      <c r="M17" s="807"/>
      <c r="N17" s="807"/>
      <c r="O17" s="807"/>
      <c r="P17" s="807"/>
      <c r="Q17" s="807"/>
      <c r="R17" s="807"/>
      <c r="S17" s="807"/>
      <c r="T17" s="807"/>
      <c r="U17" s="807"/>
      <c r="V17" s="807"/>
      <c r="W17" s="807"/>
      <c r="X17" s="807"/>
      <c r="Y17" s="807"/>
      <c r="Z17" s="807"/>
      <c r="AA17" s="807"/>
      <c r="AB17" s="807"/>
      <c r="AC17" s="807"/>
      <c r="AD17" s="807"/>
      <c r="AE17" s="807"/>
      <c r="AF17" s="807"/>
      <c r="AG17" s="807"/>
      <c r="AH17" s="807"/>
      <c r="AI17" s="807"/>
      <c r="AJ17" s="807"/>
      <c r="AK17" s="807"/>
      <c r="AL17" s="807"/>
      <c r="AM17" s="807"/>
      <c r="AN17" s="807"/>
    </row>
    <row r="18" spans="1:40" x14ac:dyDescent="0.25">
      <c r="A18" s="762" t="s">
        <v>367</v>
      </c>
      <c r="B18" s="725"/>
      <c r="C18" s="725"/>
      <c r="D18" s="725"/>
      <c r="E18" s="725"/>
      <c r="F18" s="725"/>
      <c r="G18" s="725"/>
      <c r="H18" s="725"/>
      <c r="I18" s="725"/>
      <c r="J18" s="725"/>
      <c r="K18" s="725"/>
      <c r="L18" s="725"/>
      <c r="M18" s="725"/>
      <c r="N18" s="725"/>
      <c r="O18" s="725"/>
      <c r="P18" s="725"/>
      <c r="Q18" s="725"/>
      <c r="R18" s="725"/>
      <c r="S18" s="725"/>
      <c r="T18" s="725"/>
      <c r="U18" s="725"/>
      <c r="V18" s="725"/>
      <c r="W18" s="725"/>
      <c r="X18" s="725"/>
      <c r="Y18" s="725"/>
      <c r="Z18" s="725"/>
      <c r="AA18" s="725"/>
      <c r="AB18" s="725"/>
      <c r="AC18" s="725"/>
      <c r="AD18" s="725"/>
      <c r="AE18" s="725"/>
      <c r="AF18" s="725"/>
      <c r="AG18" s="725"/>
      <c r="AH18" s="725"/>
      <c r="AI18" s="725"/>
      <c r="AJ18" s="725"/>
      <c r="AK18" s="725"/>
      <c r="AL18" s="725"/>
      <c r="AM18" s="725"/>
      <c r="AN18" s="725"/>
    </row>
    <row r="19" spans="1:40" x14ac:dyDescent="0.25">
      <c r="A19" s="572" t="s">
        <v>238</v>
      </c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40" x14ac:dyDescent="0.25">
      <c r="A20" s="602" t="s">
        <v>360</v>
      </c>
      <c r="F20" s="14"/>
    </row>
    <row r="21" spans="1:40" x14ac:dyDescent="0.25">
      <c r="A21" s="602" t="s">
        <v>364</v>
      </c>
    </row>
    <row r="22" spans="1:40" x14ac:dyDescent="0.25">
      <c r="A22" s="602" t="s">
        <v>366</v>
      </c>
    </row>
    <row r="23" spans="1:40" x14ac:dyDescent="0.25">
      <c r="A23" s="156"/>
      <c r="B23" t="s">
        <v>44</v>
      </c>
    </row>
    <row r="24" spans="1:40" x14ac:dyDescent="0.25">
      <c r="A24" s="154"/>
      <c r="B24" t="s">
        <v>42</v>
      </c>
    </row>
    <row r="25" spans="1:40" x14ac:dyDescent="0.25">
      <c r="A25" s="155"/>
      <c r="B25" t="s">
        <v>43</v>
      </c>
    </row>
    <row r="26" spans="1:40" x14ac:dyDescent="0.25">
      <c r="A26" s="15" t="s">
        <v>28</v>
      </c>
    </row>
  </sheetData>
  <mergeCells count="16">
    <mergeCell ref="A18:AN18"/>
    <mergeCell ref="A17:AN17"/>
    <mergeCell ref="Y1:AB1"/>
    <mergeCell ref="AC1:AF1"/>
    <mergeCell ref="AG1:AJ1"/>
    <mergeCell ref="AK1:AN1"/>
    <mergeCell ref="C13:E13"/>
    <mergeCell ref="C14:E14"/>
    <mergeCell ref="C15:E15"/>
    <mergeCell ref="C16:E16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1"/>
  <sheetViews>
    <sheetView workbookViewId="0">
      <selection activeCell="T27" sqref="T27"/>
    </sheetView>
  </sheetViews>
  <sheetFormatPr defaultRowHeight="14.3" x14ac:dyDescent="0.25"/>
  <cols>
    <col min="1" max="2" width="4.625" customWidth="1"/>
    <col min="4" max="7" width="4.625" customWidth="1"/>
    <col min="8" max="10" width="6.625" customWidth="1"/>
    <col min="11" max="16" width="4.625" customWidth="1"/>
  </cols>
  <sheetData>
    <row r="1" spans="1:17" ht="14.95" thickBot="1" x14ac:dyDescent="0.3">
      <c r="A1" s="343" t="s">
        <v>47</v>
      </c>
      <c r="B1" s="344" t="s">
        <v>48</v>
      </c>
      <c r="C1" s="220"/>
      <c r="D1" s="220" t="s">
        <v>0</v>
      </c>
      <c r="E1" s="221" t="s">
        <v>1</v>
      </c>
      <c r="F1" s="220" t="s">
        <v>2</v>
      </c>
      <c r="G1" s="220" t="s">
        <v>3</v>
      </c>
      <c r="H1" s="220" t="s">
        <v>4</v>
      </c>
      <c r="I1" s="220" t="s">
        <v>5</v>
      </c>
      <c r="J1" s="221" t="s">
        <v>49</v>
      </c>
      <c r="K1" s="220" t="s">
        <v>21</v>
      </c>
      <c r="L1" s="220" t="s">
        <v>22</v>
      </c>
      <c r="M1" s="220" t="s">
        <v>64</v>
      </c>
      <c r="N1" s="220" t="s">
        <v>52</v>
      </c>
      <c r="O1" s="220" t="s">
        <v>53</v>
      </c>
      <c r="P1" s="221" t="s">
        <v>50</v>
      </c>
    </row>
    <row r="2" spans="1:17" ht="14.95" thickBot="1" x14ac:dyDescent="0.3">
      <c r="A2" s="635" t="s">
        <v>13</v>
      </c>
      <c r="B2" s="449" t="s">
        <v>262</v>
      </c>
      <c r="C2" s="341" t="s">
        <v>30</v>
      </c>
      <c r="D2" s="222">
        <f>Englandplayed</f>
        <v>5</v>
      </c>
      <c r="E2" s="223">
        <f>Englandwon</f>
        <v>4</v>
      </c>
      <c r="F2" s="222">
        <f>Englanddrawn</f>
        <v>0</v>
      </c>
      <c r="G2" s="222">
        <f>Englandlost</f>
        <v>1</v>
      </c>
      <c r="H2" s="222">
        <f>Englandptsscored</f>
        <v>121</v>
      </c>
      <c r="I2" s="222">
        <f>Englandptsagainst</f>
        <v>77</v>
      </c>
      <c r="J2" s="224">
        <f t="shared" ref="J2:J7" si="0">SUM(H2-I2)</f>
        <v>44</v>
      </c>
      <c r="K2" s="225">
        <f>Englandtrybonus</f>
        <v>1</v>
      </c>
      <c r="L2" s="225">
        <f>Englandlosingbonus</f>
        <v>1</v>
      </c>
      <c r="M2" s="225">
        <v>0</v>
      </c>
      <c r="N2" s="222">
        <f>Englandtriesscored</f>
        <v>14</v>
      </c>
      <c r="O2" s="222">
        <f>Englandtriesagainst</f>
        <v>9</v>
      </c>
      <c r="P2" s="224">
        <f t="shared" ref="P2:P7" si="1">SUM(E2*4)+(F2*2)+K2+L2+M2</f>
        <v>18</v>
      </c>
    </row>
    <row r="3" spans="1:17" ht="14.95" thickBot="1" x14ac:dyDescent="0.3">
      <c r="A3" s="345">
        <v>2</v>
      </c>
      <c r="B3" s="449" t="s">
        <v>262</v>
      </c>
      <c r="C3" s="340" t="s">
        <v>34</v>
      </c>
      <c r="D3" s="225">
        <f>Franceplayed</f>
        <v>5</v>
      </c>
      <c r="E3" s="224">
        <f>Francewon</f>
        <v>4</v>
      </c>
      <c r="F3" s="225">
        <f>Francedrawn</f>
        <v>0</v>
      </c>
      <c r="G3" s="225">
        <f>Francelost</f>
        <v>1</v>
      </c>
      <c r="H3" s="225">
        <f>Franceptsscored</f>
        <v>138</v>
      </c>
      <c r="I3" s="225">
        <f>Franceptsagainst</f>
        <v>117</v>
      </c>
      <c r="J3" s="224">
        <f t="shared" si="0"/>
        <v>21</v>
      </c>
      <c r="K3" s="225">
        <f>Francetrybonus</f>
        <v>2</v>
      </c>
      <c r="L3" s="225">
        <f>Francelosingbonus</f>
        <v>0</v>
      </c>
      <c r="M3" s="225">
        <v>0</v>
      </c>
      <c r="N3" s="225">
        <f>Francetriesscored</f>
        <v>17</v>
      </c>
      <c r="O3" s="225">
        <f>Francetriesagainst</f>
        <v>13</v>
      </c>
      <c r="P3" s="224">
        <f t="shared" si="1"/>
        <v>18</v>
      </c>
    </row>
    <row r="4" spans="1:17" ht="14.95" thickBot="1" x14ac:dyDescent="0.3">
      <c r="A4" s="345">
        <v>3</v>
      </c>
      <c r="B4" s="449" t="s">
        <v>396</v>
      </c>
      <c r="C4" s="235" t="s">
        <v>39</v>
      </c>
      <c r="D4" s="225">
        <f>Irelandplayed</f>
        <v>5</v>
      </c>
      <c r="E4" s="224">
        <f>Irelandwon</f>
        <v>3</v>
      </c>
      <c r="F4" s="225">
        <f>Irelanddrawn</f>
        <v>0</v>
      </c>
      <c r="G4" s="225">
        <f>Irelandlost</f>
        <v>2</v>
      </c>
      <c r="H4" s="225">
        <f>Irelandptsscored</f>
        <v>132</v>
      </c>
      <c r="I4" s="225">
        <f>Irelandptsagainst</f>
        <v>102</v>
      </c>
      <c r="J4" s="224">
        <f t="shared" si="0"/>
        <v>30</v>
      </c>
      <c r="K4" s="225">
        <f>Irelandtrybonus</f>
        <v>2</v>
      </c>
      <c r="L4" s="225">
        <f>Irelandlosingbonus</f>
        <v>0</v>
      </c>
      <c r="M4" s="225">
        <v>0</v>
      </c>
      <c r="N4" s="225">
        <f>Irelandtriesscored</f>
        <v>17</v>
      </c>
      <c r="O4" s="225">
        <f>Irelandtriesagainst</f>
        <v>11</v>
      </c>
      <c r="P4" s="224">
        <f t="shared" si="1"/>
        <v>14</v>
      </c>
    </row>
    <row r="5" spans="1:17" ht="14.95" thickBot="1" x14ac:dyDescent="0.3">
      <c r="A5" s="345">
        <v>4</v>
      </c>
      <c r="B5" s="449" t="s">
        <v>51</v>
      </c>
      <c r="C5" s="234" t="s">
        <v>35</v>
      </c>
      <c r="D5" s="225">
        <f>Scotlandplayed</f>
        <v>5</v>
      </c>
      <c r="E5" s="224">
        <f>Scotlandwon</f>
        <v>3</v>
      </c>
      <c r="F5" s="225">
        <f>Scotlanddrawn</f>
        <v>0</v>
      </c>
      <c r="G5" s="225">
        <f>Scotlandlost</f>
        <v>2</v>
      </c>
      <c r="H5" s="225">
        <f>Scotlandptsscored</f>
        <v>77</v>
      </c>
      <c r="I5" s="225">
        <f>Scotlandptsagainst</f>
        <v>59</v>
      </c>
      <c r="J5" s="224">
        <f t="shared" si="0"/>
        <v>18</v>
      </c>
      <c r="K5" s="225">
        <f>Scotlandtrybonus</f>
        <v>0</v>
      </c>
      <c r="L5" s="225">
        <f>Scotlandlosingbonus</f>
        <v>2</v>
      </c>
      <c r="M5" s="225">
        <v>0</v>
      </c>
      <c r="N5" s="225">
        <f>Scotlandtriesscored</f>
        <v>7</v>
      </c>
      <c r="O5" s="225">
        <f>Scotlandtriesagainst</f>
        <v>5</v>
      </c>
      <c r="P5" s="224">
        <f t="shared" si="1"/>
        <v>14</v>
      </c>
    </row>
    <row r="6" spans="1:17" ht="14.95" thickBot="1" x14ac:dyDescent="0.3">
      <c r="A6" s="345">
        <v>5</v>
      </c>
      <c r="B6" s="449" t="s">
        <v>51</v>
      </c>
      <c r="C6" s="233" t="s">
        <v>32</v>
      </c>
      <c r="D6" s="225">
        <f>Walesplayed</f>
        <v>5</v>
      </c>
      <c r="E6" s="224">
        <f>Waleswon</f>
        <v>1</v>
      </c>
      <c r="F6" s="225">
        <f>Walesdrawn</f>
        <v>0</v>
      </c>
      <c r="G6" s="225">
        <f>Waleslost</f>
        <v>4</v>
      </c>
      <c r="H6" s="225">
        <f>Walesptsscored</f>
        <v>119</v>
      </c>
      <c r="I6" s="225">
        <f>Walesptsagainst</f>
        <v>98</v>
      </c>
      <c r="J6" s="224">
        <f t="shared" si="0"/>
        <v>21</v>
      </c>
      <c r="K6" s="225">
        <f>Walestrybonus</f>
        <v>1</v>
      </c>
      <c r="L6" s="225">
        <f>Waleslosingbonus</f>
        <v>3</v>
      </c>
      <c r="M6" s="225">
        <v>0</v>
      </c>
      <c r="N6" s="225">
        <f>Walestriesscored</f>
        <v>13</v>
      </c>
      <c r="O6" s="225">
        <f>Walestriesagainst</f>
        <v>11</v>
      </c>
      <c r="P6" s="224">
        <f t="shared" si="1"/>
        <v>8</v>
      </c>
    </row>
    <row r="7" spans="1:17" ht="14.95" thickBot="1" x14ac:dyDescent="0.3">
      <c r="A7" s="345">
        <v>6</v>
      </c>
      <c r="B7" s="449" t="s">
        <v>51</v>
      </c>
      <c r="C7" s="338" t="s">
        <v>33</v>
      </c>
      <c r="D7" s="225">
        <f>Italyplayed</f>
        <v>5</v>
      </c>
      <c r="E7" s="224">
        <f>Italywon</f>
        <v>0</v>
      </c>
      <c r="F7" s="225">
        <f>Italydrawn</f>
        <v>0</v>
      </c>
      <c r="G7" s="225">
        <f>Italylost</f>
        <v>5</v>
      </c>
      <c r="H7" s="225">
        <f>Italyptsscored</f>
        <v>44</v>
      </c>
      <c r="I7" s="225">
        <f>Italyptsagainst</f>
        <v>178</v>
      </c>
      <c r="J7" s="224">
        <f t="shared" si="0"/>
        <v>-134</v>
      </c>
      <c r="K7" s="225">
        <f>Italytrybonus</f>
        <v>0</v>
      </c>
      <c r="L7" s="225">
        <f>Italylosingbonus</f>
        <v>0</v>
      </c>
      <c r="M7" s="225">
        <v>0</v>
      </c>
      <c r="N7" s="225">
        <f>Italytriesscored</f>
        <v>6</v>
      </c>
      <c r="O7" s="225">
        <f>Italytriesagainst</f>
        <v>25</v>
      </c>
      <c r="P7" s="224">
        <f t="shared" si="1"/>
        <v>0</v>
      </c>
    </row>
    <row r="8" spans="1:17" x14ac:dyDescent="0.25">
      <c r="A8" s="230"/>
      <c r="B8" s="231"/>
      <c r="C8" s="236"/>
      <c r="D8" s="232"/>
      <c r="E8" s="232"/>
      <c r="F8" s="232"/>
      <c r="G8" s="232"/>
      <c r="H8" s="232">
        <f>SUM(H2:H7)</f>
        <v>631</v>
      </c>
      <c r="I8" s="232">
        <f>SUM(I2:I7)</f>
        <v>631</v>
      </c>
      <c r="J8" s="232"/>
      <c r="K8" s="232"/>
      <c r="L8" s="232"/>
      <c r="M8" s="232"/>
      <c r="N8" s="232">
        <f t="shared" ref="N8:O8" si="2">SUM(N2:N7)</f>
        <v>74</v>
      </c>
      <c r="O8" s="232">
        <f t="shared" si="2"/>
        <v>74</v>
      </c>
      <c r="P8" s="232"/>
      <c r="Q8" s="232" t="s">
        <v>58</v>
      </c>
    </row>
    <row r="9" spans="1:17" x14ac:dyDescent="0.25">
      <c r="A9" t="s">
        <v>65</v>
      </c>
    </row>
    <row r="10" spans="1:17" ht="15.8" customHeight="1" x14ac:dyDescent="0.25"/>
    <row r="11" spans="1:17" ht="15.8" customHeight="1" x14ac:dyDescent="0.25">
      <c r="A11" s="420" t="s">
        <v>397</v>
      </c>
    </row>
    <row r="12" spans="1:17" ht="15.8" customHeight="1" thickBot="1" x14ac:dyDescent="0.3"/>
    <row r="13" spans="1:17" ht="15.8" customHeight="1" thickBot="1" x14ac:dyDescent="0.3">
      <c r="A13" s="343" t="s">
        <v>47</v>
      </c>
      <c r="B13" s="344" t="s">
        <v>48</v>
      </c>
      <c r="C13" s="344"/>
      <c r="D13" s="344" t="s">
        <v>0</v>
      </c>
      <c r="E13" s="580" t="s">
        <v>1</v>
      </c>
      <c r="F13" s="344" t="s">
        <v>2</v>
      </c>
      <c r="G13" s="344" t="s">
        <v>3</v>
      </c>
      <c r="H13" s="344" t="s">
        <v>4</v>
      </c>
      <c r="I13" s="344" t="s">
        <v>5</v>
      </c>
      <c r="J13" s="580" t="s">
        <v>49</v>
      </c>
      <c r="K13" s="344" t="s">
        <v>21</v>
      </c>
      <c r="L13" s="344" t="s">
        <v>22</v>
      </c>
      <c r="M13" s="344" t="s">
        <v>64</v>
      </c>
      <c r="N13" s="344" t="s">
        <v>52</v>
      </c>
      <c r="O13" s="344" t="s">
        <v>53</v>
      </c>
      <c r="P13" s="580" t="s">
        <v>50</v>
      </c>
    </row>
    <row r="14" spans="1:17" ht="15.8" customHeight="1" thickBot="1" x14ac:dyDescent="0.3">
      <c r="A14" s="581">
        <v>1</v>
      </c>
      <c r="B14" s="449" t="s">
        <v>269</v>
      </c>
      <c r="C14" s="585" t="s">
        <v>39</v>
      </c>
      <c r="D14" s="583">
        <v>4</v>
      </c>
      <c r="E14" s="584">
        <v>3</v>
      </c>
      <c r="F14" s="583">
        <v>0</v>
      </c>
      <c r="G14" s="583">
        <v>1</v>
      </c>
      <c r="H14" s="583">
        <v>105</v>
      </c>
      <c r="I14" s="583">
        <v>67</v>
      </c>
      <c r="J14" s="584">
        <v>38</v>
      </c>
      <c r="K14" s="583">
        <v>2</v>
      </c>
      <c r="L14" s="583">
        <v>0</v>
      </c>
      <c r="M14" s="583">
        <v>0</v>
      </c>
      <c r="N14" s="583">
        <v>14</v>
      </c>
      <c r="O14" s="583">
        <v>7</v>
      </c>
      <c r="P14" s="584">
        <v>14</v>
      </c>
    </row>
    <row r="15" spans="1:17" ht="15.8" customHeight="1" thickBot="1" x14ac:dyDescent="0.3">
      <c r="A15" s="581">
        <v>2</v>
      </c>
      <c r="B15" s="449" t="s">
        <v>51</v>
      </c>
      <c r="C15" s="586" t="s">
        <v>30</v>
      </c>
      <c r="D15" s="583">
        <v>4</v>
      </c>
      <c r="E15" s="584">
        <v>3</v>
      </c>
      <c r="F15" s="583">
        <v>0</v>
      </c>
      <c r="G15" s="583">
        <v>1</v>
      </c>
      <c r="H15" s="583">
        <v>87</v>
      </c>
      <c r="I15" s="583">
        <v>72</v>
      </c>
      <c r="J15" s="584">
        <v>15</v>
      </c>
      <c r="K15" s="583">
        <v>0</v>
      </c>
      <c r="L15" s="583">
        <v>1</v>
      </c>
      <c r="M15" s="583">
        <v>0</v>
      </c>
      <c r="N15" s="583">
        <v>9</v>
      </c>
      <c r="O15" s="583">
        <v>8</v>
      </c>
      <c r="P15" s="584">
        <v>13</v>
      </c>
    </row>
    <row r="16" spans="1:17" ht="15.8" customHeight="1" thickBot="1" x14ac:dyDescent="0.3">
      <c r="A16" s="581">
        <v>3</v>
      </c>
      <c r="B16" s="449" t="s">
        <v>396</v>
      </c>
      <c r="C16" s="340" t="s">
        <v>34</v>
      </c>
      <c r="D16" s="583">
        <v>4</v>
      </c>
      <c r="E16" s="584">
        <v>3</v>
      </c>
      <c r="F16" s="583">
        <v>0</v>
      </c>
      <c r="G16" s="583">
        <v>1</v>
      </c>
      <c r="H16" s="583">
        <v>103</v>
      </c>
      <c r="I16" s="583">
        <v>90</v>
      </c>
      <c r="J16" s="584">
        <v>13</v>
      </c>
      <c r="K16" s="583">
        <v>1</v>
      </c>
      <c r="L16" s="583">
        <v>0</v>
      </c>
      <c r="M16" s="583">
        <v>0</v>
      </c>
      <c r="N16" s="583">
        <v>13</v>
      </c>
      <c r="O16" s="583">
        <v>10</v>
      </c>
      <c r="P16" s="584">
        <v>13</v>
      </c>
    </row>
    <row r="17" spans="1:16" ht="15.8" customHeight="1" thickBot="1" x14ac:dyDescent="0.3">
      <c r="A17" s="581">
        <v>4</v>
      </c>
      <c r="B17" s="449" t="s">
        <v>262</v>
      </c>
      <c r="C17" s="587" t="s">
        <v>35</v>
      </c>
      <c r="D17" s="583">
        <v>4</v>
      </c>
      <c r="E17" s="584">
        <v>2</v>
      </c>
      <c r="F17" s="583">
        <v>0</v>
      </c>
      <c r="G17" s="583">
        <v>2</v>
      </c>
      <c r="H17" s="583">
        <v>63</v>
      </c>
      <c r="I17" s="583">
        <v>49</v>
      </c>
      <c r="J17" s="584">
        <v>14</v>
      </c>
      <c r="K17" s="583">
        <v>0</v>
      </c>
      <c r="L17" s="583">
        <v>2</v>
      </c>
      <c r="M17" s="583">
        <v>0</v>
      </c>
      <c r="N17" s="583">
        <v>6</v>
      </c>
      <c r="O17" s="583">
        <v>4</v>
      </c>
      <c r="P17" s="584">
        <v>10</v>
      </c>
    </row>
    <row r="18" spans="1:16" ht="15.8" customHeight="1" thickBot="1" x14ac:dyDescent="0.3">
      <c r="A18" s="581">
        <v>5</v>
      </c>
      <c r="B18" s="449" t="s">
        <v>270</v>
      </c>
      <c r="C18" s="582" t="s">
        <v>32</v>
      </c>
      <c r="D18" s="583">
        <v>4</v>
      </c>
      <c r="E18" s="584">
        <v>1</v>
      </c>
      <c r="F18" s="583">
        <v>0</v>
      </c>
      <c r="G18" s="583">
        <v>3</v>
      </c>
      <c r="H18" s="583">
        <v>109</v>
      </c>
      <c r="I18" s="583">
        <v>84</v>
      </c>
      <c r="J18" s="584">
        <v>25</v>
      </c>
      <c r="K18" s="583">
        <v>1</v>
      </c>
      <c r="L18" s="583">
        <v>2</v>
      </c>
      <c r="M18" s="583">
        <v>0</v>
      </c>
      <c r="N18" s="583">
        <v>12</v>
      </c>
      <c r="O18" s="583">
        <v>10</v>
      </c>
      <c r="P18" s="584">
        <v>7</v>
      </c>
    </row>
    <row r="19" spans="1:16" ht="15.8" customHeight="1" thickBot="1" x14ac:dyDescent="0.3">
      <c r="A19" s="581">
        <v>6</v>
      </c>
      <c r="B19" s="449" t="s">
        <v>51</v>
      </c>
      <c r="C19" s="338" t="s">
        <v>33</v>
      </c>
      <c r="D19" s="583">
        <v>4</v>
      </c>
      <c r="E19" s="584">
        <v>0</v>
      </c>
      <c r="F19" s="583">
        <v>0</v>
      </c>
      <c r="G19" s="583">
        <v>4</v>
      </c>
      <c r="H19" s="583">
        <v>39</v>
      </c>
      <c r="I19" s="583">
        <v>144</v>
      </c>
      <c r="J19" s="584">
        <v>-105</v>
      </c>
      <c r="K19" s="583">
        <v>0</v>
      </c>
      <c r="L19" s="583">
        <v>0</v>
      </c>
      <c r="M19" s="583">
        <v>0</v>
      </c>
      <c r="N19" s="583">
        <v>5</v>
      </c>
      <c r="O19" s="583">
        <v>20</v>
      </c>
      <c r="P19" s="584">
        <v>0</v>
      </c>
    </row>
    <row r="20" spans="1:16" ht="15.8" customHeight="1" x14ac:dyDescent="0.25">
      <c r="A20" t="s">
        <v>398</v>
      </c>
    </row>
    <row r="21" spans="1:16" ht="15.8" customHeight="1" x14ac:dyDescent="0.25">
      <c r="A21" s="420" t="s">
        <v>272</v>
      </c>
    </row>
    <row r="22" spans="1:16" ht="15.8" customHeight="1" thickBot="1" x14ac:dyDescent="0.3"/>
    <row r="23" spans="1:16" ht="15.8" customHeight="1" thickBot="1" x14ac:dyDescent="0.3">
      <c r="A23" s="343" t="s">
        <v>47</v>
      </c>
      <c r="B23" s="344" t="s">
        <v>48</v>
      </c>
      <c r="C23" s="344"/>
      <c r="D23" s="344" t="s">
        <v>0</v>
      </c>
      <c r="E23" s="580" t="s">
        <v>1</v>
      </c>
      <c r="F23" s="344" t="s">
        <v>2</v>
      </c>
      <c r="G23" s="344" t="s">
        <v>3</v>
      </c>
      <c r="H23" s="344" t="s">
        <v>4</v>
      </c>
      <c r="I23" s="344" t="s">
        <v>5</v>
      </c>
      <c r="J23" s="580" t="s">
        <v>49</v>
      </c>
      <c r="K23" s="344" t="s">
        <v>21</v>
      </c>
      <c r="L23" s="344" t="s">
        <v>22</v>
      </c>
      <c r="M23" s="344" t="s">
        <v>64</v>
      </c>
      <c r="N23" s="344" t="s">
        <v>52</v>
      </c>
      <c r="O23" s="344" t="s">
        <v>53</v>
      </c>
      <c r="P23" s="580" t="s">
        <v>50</v>
      </c>
    </row>
    <row r="24" spans="1:16" ht="15.8" customHeight="1" thickBot="1" x14ac:dyDescent="0.3">
      <c r="A24" s="581">
        <v>1</v>
      </c>
      <c r="B24" s="449" t="s">
        <v>51</v>
      </c>
      <c r="C24" s="340" t="s">
        <v>34</v>
      </c>
      <c r="D24" s="583">
        <v>3</v>
      </c>
      <c r="E24" s="584">
        <v>3</v>
      </c>
      <c r="F24" s="583">
        <v>0</v>
      </c>
      <c r="G24" s="583">
        <v>0</v>
      </c>
      <c r="H24" s="583">
        <v>86</v>
      </c>
      <c r="I24" s="583">
        <v>62</v>
      </c>
      <c r="J24" s="584">
        <v>24</v>
      </c>
      <c r="K24" s="583">
        <v>1</v>
      </c>
      <c r="L24" s="583">
        <v>0</v>
      </c>
      <c r="M24" s="583">
        <v>0</v>
      </c>
      <c r="N24" s="583">
        <v>11</v>
      </c>
      <c r="O24" s="583">
        <v>7</v>
      </c>
      <c r="P24" s="584">
        <v>13</v>
      </c>
    </row>
    <row r="25" spans="1:16" ht="15.8" customHeight="1" thickBot="1" x14ac:dyDescent="0.3">
      <c r="A25" s="581">
        <v>2</v>
      </c>
      <c r="B25" s="449" t="s">
        <v>269</v>
      </c>
      <c r="C25" s="586" t="s">
        <v>30</v>
      </c>
      <c r="D25" s="583">
        <v>3</v>
      </c>
      <c r="E25" s="584">
        <v>2</v>
      </c>
      <c r="F25" s="583">
        <v>0</v>
      </c>
      <c r="G25" s="583">
        <v>1</v>
      </c>
      <c r="H25" s="583">
        <v>54</v>
      </c>
      <c r="I25" s="583">
        <v>42</v>
      </c>
      <c r="J25" s="584">
        <v>12</v>
      </c>
      <c r="K25" s="583">
        <v>0</v>
      </c>
      <c r="L25" s="583">
        <v>1</v>
      </c>
      <c r="M25" s="583">
        <v>0</v>
      </c>
      <c r="N25" s="583">
        <v>6</v>
      </c>
      <c r="O25" s="583">
        <v>5</v>
      </c>
      <c r="P25" s="584">
        <v>9</v>
      </c>
    </row>
    <row r="26" spans="1:16" ht="15.8" customHeight="1" thickBot="1" x14ac:dyDescent="0.3">
      <c r="A26" s="581">
        <v>3</v>
      </c>
      <c r="B26" s="449" t="s">
        <v>270</v>
      </c>
      <c r="C26" s="585" t="s">
        <v>39</v>
      </c>
      <c r="D26" s="583">
        <v>3</v>
      </c>
      <c r="E26" s="584">
        <v>2</v>
      </c>
      <c r="F26" s="583">
        <v>0</v>
      </c>
      <c r="G26" s="583">
        <v>1</v>
      </c>
      <c r="H26" s="583">
        <v>55</v>
      </c>
      <c r="I26" s="583">
        <v>50</v>
      </c>
      <c r="J26" s="584">
        <v>5</v>
      </c>
      <c r="K26" s="583">
        <v>1</v>
      </c>
      <c r="L26" s="583">
        <v>0</v>
      </c>
      <c r="M26" s="583">
        <v>0</v>
      </c>
      <c r="N26" s="583">
        <v>7</v>
      </c>
      <c r="O26" s="583">
        <v>5</v>
      </c>
      <c r="P26" s="584">
        <v>9</v>
      </c>
    </row>
    <row r="27" spans="1:16" ht="15.8" customHeight="1" thickBot="1" x14ac:dyDescent="0.3">
      <c r="A27" s="581">
        <v>4</v>
      </c>
      <c r="B27" s="449" t="s">
        <v>270</v>
      </c>
      <c r="C27" s="582" t="s">
        <v>32</v>
      </c>
      <c r="D27" s="583">
        <v>3</v>
      </c>
      <c r="E27" s="584">
        <v>1</v>
      </c>
      <c r="F27" s="583">
        <v>0</v>
      </c>
      <c r="G27" s="583">
        <v>2</v>
      </c>
      <c r="H27" s="583">
        <v>79</v>
      </c>
      <c r="I27" s="583">
        <v>51</v>
      </c>
      <c r="J27" s="584">
        <v>28</v>
      </c>
      <c r="K27" s="583">
        <v>1</v>
      </c>
      <c r="L27" s="583">
        <v>1</v>
      </c>
      <c r="M27" s="583">
        <v>0</v>
      </c>
      <c r="N27" s="583">
        <v>9</v>
      </c>
      <c r="O27" s="583">
        <v>7</v>
      </c>
      <c r="P27" s="584">
        <v>6</v>
      </c>
    </row>
    <row r="28" spans="1:16" ht="15.8" customHeight="1" thickBot="1" x14ac:dyDescent="0.3">
      <c r="A28" s="581">
        <v>5</v>
      </c>
      <c r="B28" s="449" t="s">
        <v>51</v>
      </c>
      <c r="C28" s="587" t="s">
        <v>35</v>
      </c>
      <c r="D28" s="583">
        <v>3</v>
      </c>
      <c r="E28" s="584">
        <v>1</v>
      </c>
      <c r="F28" s="583">
        <v>0</v>
      </c>
      <c r="G28" s="583">
        <v>2</v>
      </c>
      <c r="H28" s="583">
        <v>35</v>
      </c>
      <c r="I28" s="583">
        <v>32</v>
      </c>
      <c r="J28" s="584">
        <v>3</v>
      </c>
      <c r="K28" s="583">
        <v>0</v>
      </c>
      <c r="L28" s="583">
        <v>2</v>
      </c>
      <c r="M28" s="583">
        <v>0</v>
      </c>
      <c r="N28" s="583">
        <v>3</v>
      </c>
      <c r="O28" s="583">
        <v>2</v>
      </c>
      <c r="P28" s="584">
        <v>6</v>
      </c>
    </row>
    <row r="29" spans="1:16" ht="15.8" customHeight="1" thickBot="1" x14ac:dyDescent="0.3">
      <c r="A29" s="581">
        <v>6</v>
      </c>
      <c r="B29" s="449" t="s">
        <v>51</v>
      </c>
      <c r="C29" s="338" t="s">
        <v>33</v>
      </c>
      <c r="D29" s="583">
        <v>3</v>
      </c>
      <c r="E29" s="584">
        <v>0</v>
      </c>
      <c r="F29" s="583">
        <v>0</v>
      </c>
      <c r="G29" s="583">
        <v>3</v>
      </c>
      <c r="H29" s="583">
        <v>22</v>
      </c>
      <c r="I29" s="583">
        <v>94</v>
      </c>
      <c r="J29" s="584">
        <v>-72</v>
      </c>
      <c r="K29" s="583">
        <v>0</v>
      </c>
      <c r="L29" s="583">
        <v>0</v>
      </c>
      <c r="M29" s="583">
        <v>0</v>
      </c>
      <c r="N29" s="583">
        <v>3</v>
      </c>
      <c r="O29" s="583">
        <v>13</v>
      </c>
      <c r="P29" s="584">
        <v>0</v>
      </c>
    </row>
    <row r="30" spans="1:16" ht="15.8" customHeight="1" x14ac:dyDescent="0.25"/>
    <row r="31" spans="1:16" ht="15.8" customHeight="1" x14ac:dyDescent="0.25">
      <c r="A31" s="420" t="s">
        <v>271</v>
      </c>
    </row>
    <row r="32" spans="1:16" ht="15.8" customHeight="1" thickBot="1" x14ac:dyDescent="0.3"/>
    <row r="33" spans="1:16" ht="15.8" customHeight="1" thickBot="1" x14ac:dyDescent="0.3">
      <c r="A33" s="343" t="s">
        <v>47</v>
      </c>
      <c r="B33" s="344" t="s">
        <v>48</v>
      </c>
      <c r="C33" s="344"/>
      <c r="D33" s="344" t="s">
        <v>0</v>
      </c>
      <c r="E33" s="580" t="s">
        <v>1</v>
      </c>
      <c r="F33" s="344" t="s">
        <v>2</v>
      </c>
      <c r="G33" s="344" t="s">
        <v>3</v>
      </c>
      <c r="H33" s="344" t="s">
        <v>4</v>
      </c>
      <c r="I33" s="344" t="s">
        <v>5</v>
      </c>
      <c r="J33" s="580" t="s">
        <v>49</v>
      </c>
      <c r="K33" s="344" t="s">
        <v>21</v>
      </c>
      <c r="L33" s="344" t="s">
        <v>22</v>
      </c>
      <c r="M33" s="344" t="s">
        <v>64</v>
      </c>
      <c r="N33" s="344" t="s">
        <v>52</v>
      </c>
      <c r="O33" s="344" t="s">
        <v>53</v>
      </c>
      <c r="P33" s="580" t="s">
        <v>50</v>
      </c>
    </row>
    <row r="34" spans="1:16" ht="15.8" customHeight="1" thickBot="1" x14ac:dyDescent="0.3">
      <c r="A34" s="581">
        <v>1</v>
      </c>
      <c r="B34" s="449" t="s">
        <v>262</v>
      </c>
      <c r="C34" s="340" t="s">
        <v>34</v>
      </c>
      <c r="D34" s="583">
        <v>2</v>
      </c>
      <c r="E34" s="584">
        <v>2</v>
      </c>
      <c r="F34" s="583">
        <v>0</v>
      </c>
      <c r="G34" s="583">
        <v>0</v>
      </c>
      <c r="H34" s="583">
        <v>59</v>
      </c>
      <c r="I34" s="583">
        <v>39</v>
      </c>
      <c r="J34" s="584">
        <v>20</v>
      </c>
      <c r="K34" s="583">
        <v>1</v>
      </c>
      <c r="L34" s="583">
        <v>0</v>
      </c>
      <c r="M34" s="583">
        <v>0</v>
      </c>
      <c r="N34" s="583">
        <v>8</v>
      </c>
      <c r="O34" s="583">
        <v>5</v>
      </c>
      <c r="P34" s="584">
        <v>9</v>
      </c>
    </row>
    <row r="35" spans="1:16" ht="15.8" customHeight="1" thickBot="1" x14ac:dyDescent="0.3">
      <c r="A35" s="581">
        <v>2</v>
      </c>
      <c r="B35" s="449" t="s">
        <v>262</v>
      </c>
      <c r="C35" s="585" t="s">
        <v>39</v>
      </c>
      <c r="D35" s="583">
        <v>2</v>
      </c>
      <c r="E35" s="584">
        <v>2</v>
      </c>
      <c r="F35" s="583">
        <v>0</v>
      </c>
      <c r="G35" s="583">
        <v>0</v>
      </c>
      <c r="H35" s="583">
        <v>43</v>
      </c>
      <c r="I35" s="583">
        <v>26</v>
      </c>
      <c r="J35" s="584">
        <v>17</v>
      </c>
      <c r="K35" s="583">
        <v>1</v>
      </c>
      <c r="L35" s="583">
        <v>0</v>
      </c>
      <c r="M35" s="583">
        <v>0</v>
      </c>
      <c r="N35" s="583">
        <v>5</v>
      </c>
      <c r="O35" s="583">
        <v>2</v>
      </c>
      <c r="P35" s="584">
        <v>9</v>
      </c>
    </row>
    <row r="36" spans="1:16" ht="15.8" customHeight="1" thickBot="1" x14ac:dyDescent="0.3">
      <c r="A36" s="581">
        <v>3</v>
      </c>
      <c r="B36" s="449" t="s">
        <v>263</v>
      </c>
      <c r="C36" s="582" t="s">
        <v>32</v>
      </c>
      <c r="D36" s="583">
        <v>2</v>
      </c>
      <c r="E36" s="584">
        <v>1</v>
      </c>
      <c r="F36" s="583">
        <v>0</v>
      </c>
      <c r="G36" s="583">
        <v>1</v>
      </c>
      <c r="H36" s="583">
        <v>56</v>
      </c>
      <c r="I36" s="583">
        <v>24</v>
      </c>
      <c r="J36" s="584">
        <v>32</v>
      </c>
      <c r="K36" s="583">
        <v>1</v>
      </c>
      <c r="L36" s="583">
        <v>0</v>
      </c>
      <c r="M36" s="583">
        <v>0</v>
      </c>
      <c r="N36" s="583">
        <v>7</v>
      </c>
      <c r="O36" s="583">
        <v>4</v>
      </c>
      <c r="P36" s="584">
        <v>5</v>
      </c>
    </row>
    <row r="37" spans="1:16" ht="15.8" customHeight="1" thickBot="1" x14ac:dyDescent="0.3">
      <c r="A37" s="581">
        <v>4</v>
      </c>
      <c r="B37" s="449" t="s">
        <v>51</v>
      </c>
      <c r="C37" s="586" t="s">
        <v>30</v>
      </c>
      <c r="D37" s="583">
        <v>2</v>
      </c>
      <c r="E37" s="584">
        <v>1</v>
      </c>
      <c r="F37" s="583">
        <v>0</v>
      </c>
      <c r="G37" s="583">
        <v>1</v>
      </c>
      <c r="H37" s="583">
        <v>30</v>
      </c>
      <c r="I37" s="583">
        <v>30</v>
      </c>
      <c r="J37" s="584">
        <v>0</v>
      </c>
      <c r="K37" s="583">
        <v>0</v>
      </c>
      <c r="L37" s="583">
        <v>1</v>
      </c>
      <c r="M37" s="583">
        <v>0</v>
      </c>
      <c r="N37" s="583">
        <v>3</v>
      </c>
      <c r="O37" s="583">
        <v>3</v>
      </c>
      <c r="P37" s="584">
        <v>5</v>
      </c>
    </row>
    <row r="38" spans="1:16" ht="15.8" customHeight="1" thickBot="1" x14ac:dyDescent="0.3">
      <c r="A38" s="581">
        <v>5</v>
      </c>
      <c r="B38" s="449" t="s">
        <v>51</v>
      </c>
      <c r="C38" s="587" t="s">
        <v>35</v>
      </c>
      <c r="D38" s="583">
        <v>2</v>
      </c>
      <c r="E38" s="584">
        <v>0</v>
      </c>
      <c r="F38" s="583">
        <v>0</v>
      </c>
      <c r="G38" s="583">
        <v>2</v>
      </c>
      <c r="H38" s="583">
        <v>18</v>
      </c>
      <c r="I38" s="583">
        <v>32</v>
      </c>
      <c r="J38" s="584">
        <v>-14</v>
      </c>
      <c r="K38" s="583">
        <v>0</v>
      </c>
      <c r="L38" s="583">
        <v>2</v>
      </c>
      <c r="M38" s="583">
        <v>0</v>
      </c>
      <c r="N38" s="583">
        <v>0</v>
      </c>
      <c r="O38" s="583">
        <v>2</v>
      </c>
      <c r="P38" s="584">
        <v>2</v>
      </c>
    </row>
    <row r="39" spans="1:16" ht="15.8" customHeight="1" thickBot="1" x14ac:dyDescent="0.3">
      <c r="A39" s="581">
        <v>6</v>
      </c>
      <c r="B39" s="449" t="s">
        <v>51</v>
      </c>
      <c r="C39" s="338" t="s">
        <v>33</v>
      </c>
      <c r="D39" s="583">
        <v>2</v>
      </c>
      <c r="E39" s="584">
        <v>0</v>
      </c>
      <c r="F39" s="583">
        <v>0</v>
      </c>
      <c r="G39" s="583">
        <v>2</v>
      </c>
      <c r="H39" s="583">
        <v>22</v>
      </c>
      <c r="I39" s="583">
        <v>77</v>
      </c>
      <c r="J39" s="584">
        <v>-55</v>
      </c>
      <c r="K39" s="583">
        <v>0</v>
      </c>
      <c r="L39" s="583">
        <v>0</v>
      </c>
      <c r="M39" s="583">
        <v>0</v>
      </c>
      <c r="N39" s="583">
        <v>3</v>
      </c>
      <c r="O39" s="583">
        <v>10</v>
      </c>
      <c r="P39" s="584">
        <v>0</v>
      </c>
    </row>
    <row r="40" spans="1:16" ht="15.8" customHeight="1" x14ac:dyDescent="0.25"/>
    <row r="41" spans="1:16" x14ac:dyDescent="0.25">
      <c r="A41" s="420" t="s">
        <v>230</v>
      </c>
    </row>
    <row r="42" spans="1:16" ht="14.95" thickBot="1" x14ac:dyDescent="0.3">
      <c r="A42" s="420"/>
    </row>
    <row r="43" spans="1:16" ht="14.95" thickBot="1" x14ac:dyDescent="0.3">
      <c r="A43" s="343" t="s">
        <v>47</v>
      </c>
      <c r="B43" s="344" t="s">
        <v>48</v>
      </c>
      <c r="C43" s="344"/>
      <c r="D43" s="344" t="s">
        <v>0</v>
      </c>
      <c r="E43" s="580" t="s">
        <v>1</v>
      </c>
      <c r="F43" s="344" t="s">
        <v>2</v>
      </c>
      <c r="G43" s="344" t="s">
        <v>3</v>
      </c>
      <c r="H43" s="344" t="s">
        <v>4</v>
      </c>
      <c r="I43" s="344" t="s">
        <v>5</v>
      </c>
      <c r="J43" s="580" t="s">
        <v>49</v>
      </c>
      <c r="K43" s="344" t="s">
        <v>21</v>
      </c>
      <c r="L43" s="344" t="s">
        <v>22</v>
      </c>
      <c r="M43" s="344" t="s">
        <v>64</v>
      </c>
      <c r="N43" s="344" t="s">
        <v>52</v>
      </c>
      <c r="O43" s="344" t="s">
        <v>53</v>
      </c>
      <c r="P43" s="580" t="s">
        <v>50</v>
      </c>
    </row>
    <row r="44" spans="1:16" ht="14.95" thickBot="1" x14ac:dyDescent="0.3">
      <c r="A44" s="581">
        <v>1</v>
      </c>
      <c r="B44" s="449" t="s">
        <v>51</v>
      </c>
      <c r="C44" s="582" t="s">
        <v>32</v>
      </c>
      <c r="D44" s="583">
        <v>1</v>
      </c>
      <c r="E44" s="584">
        <v>1</v>
      </c>
      <c r="F44" s="583">
        <v>0</v>
      </c>
      <c r="G44" s="583">
        <v>0</v>
      </c>
      <c r="H44" s="583">
        <v>42</v>
      </c>
      <c r="I44" s="583">
        <v>0</v>
      </c>
      <c r="J44" s="584">
        <v>42</v>
      </c>
      <c r="K44" s="583">
        <v>1</v>
      </c>
      <c r="L44" s="583">
        <v>0</v>
      </c>
      <c r="M44" s="583">
        <v>0</v>
      </c>
      <c r="N44" s="583">
        <v>5</v>
      </c>
      <c r="O44" s="583">
        <v>0</v>
      </c>
      <c r="P44" s="584">
        <v>5</v>
      </c>
    </row>
    <row r="45" spans="1:16" ht="14.95" thickBot="1" x14ac:dyDescent="0.3">
      <c r="A45" s="581">
        <v>2</v>
      </c>
      <c r="B45" s="449" t="s">
        <v>51</v>
      </c>
      <c r="C45" s="340" t="s">
        <v>34</v>
      </c>
      <c r="D45" s="583">
        <v>1</v>
      </c>
      <c r="E45" s="584">
        <v>1</v>
      </c>
      <c r="F45" s="583">
        <v>0</v>
      </c>
      <c r="G45" s="583">
        <v>0</v>
      </c>
      <c r="H45" s="583">
        <v>24</v>
      </c>
      <c r="I45" s="583">
        <v>17</v>
      </c>
      <c r="J45" s="584">
        <v>7</v>
      </c>
      <c r="K45" s="583">
        <v>0</v>
      </c>
      <c r="L45" s="583">
        <v>0</v>
      </c>
      <c r="M45" s="583">
        <v>0</v>
      </c>
      <c r="N45" s="583">
        <v>3</v>
      </c>
      <c r="O45" s="583">
        <v>2</v>
      </c>
      <c r="P45" s="584">
        <v>4</v>
      </c>
    </row>
    <row r="46" spans="1:16" ht="14.95" thickBot="1" x14ac:dyDescent="0.3">
      <c r="A46" s="581">
        <v>3</v>
      </c>
      <c r="B46" s="449" t="s">
        <v>51</v>
      </c>
      <c r="C46" s="585" t="s">
        <v>39</v>
      </c>
      <c r="D46" s="583">
        <v>1</v>
      </c>
      <c r="E46" s="584">
        <v>1</v>
      </c>
      <c r="F46" s="583">
        <v>0</v>
      </c>
      <c r="G46" s="583">
        <v>0</v>
      </c>
      <c r="H46" s="583">
        <v>19</v>
      </c>
      <c r="I46" s="583">
        <v>12</v>
      </c>
      <c r="J46" s="584">
        <v>7</v>
      </c>
      <c r="K46" s="583">
        <v>0</v>
      </c>
      <c r="L46" s="583">
        <v>0</v>
      </c>
      <c r="M46" s="583">
        <v>0</v>
      </c>
      <c r="N46" s="583">
        <v>1</v>
      </c>
      <c r="O46" s="583">
        <v>0</v>
      </c>
      <c r="P46" s="584">
        <v>4</v>
      </c>
    </row>
    <row r="47" spans="1:16" ht="14.95" thickBot="1" x14ac:dyDescent="0.3">
      <c r="A47" s="581">
        <v>4</v>
      </c>
      <c r="B47" s="449" t="s">
        <v>51</v>
      </c>
      <c r="C47" s="586" t="s">
        <v>30</v>
      </c>
      <c r="D47" s="583">
        <v>1</v>
      </c>
      <c r="E47" s="584">
        <v>0</v>
      </c>
      <c r="F47" s="583">
        <v>0</v>
      </c>
      <c r="G47" s="583">
        <v>1</v>
      </c>
      <c r="H47" s="583">
        <v>17</v>
      </c>
      <c r="I47" s="583">
        <v>24</v>
      </c>
      <c r="J47" s="584">
        <v>-7</v>
      </c>
      <c r="K47" s="583">
        <v>0</v>
      </c>
      <c r="L47" s="583">
        <v>1</v>
      </c>
      <c r="M47" s="583">
        <v>0</v>
      </c>
      <c r="N47" s="583">
        <v>2</v>
      </c>
      <c r="O47" s="583">
        <v>3</v>
      </c>
      <c r="P47" s="584">
        <v>1</v>
      </c>
    </row>
    <row r="48" spans="1:16" ht="14.95" thickBot="1" x14ac:dyDescent="0.3">
      <c r="A48" s="581">
        <v>5</v>
      </c>
      <c r="B48" s="449" t="s">
        <v>51</v>
      </c>
      <c r="C48" s="587" t="s">
        <v>35</v>
      </c>
      <c r="D48" s="583">
        <v>1</v>
      </c>
      <c r="E48" s="584">
        <v>0</v>
      </c>
      <c r="F48" s="583">
        <v>0</v>
      </c>
      <c r="G48" s="583">
        <v>1</v>
      </c>
      <c r="H48" s="583">
        <v>12</v>
      </c>
      <c r="I48" s="583">
        <v>19</v>
      </c>
      <c r="J48" s="584">
        <v>-7</v>
      </c>
      <c r="K48" s="583">
        <v>0</v>
      </c>
      <c r="L48" s="583">
        <v>1</v>
      </c>
      <c r="M48" s="583">
        <v>0</v>
      </c>
      <c r="N48" s="583">
        <v>0</v>
      </c>
      <c r="O48" s="583">
        <v>1</v>
      </c>
      <c r="P48" s="584">
        <v>1</v>
      </c>
    </row>
    <row r="49" spans="1:16" ht="14.95" thickBot="1" x14ac:dyDescent="0.3">
      <c r="A49" s="581">
        <v>6</v>
      </c>
      <c r="B49" s="449" t="s">
        <v>51</v>
      </c>
      <c r="C49" s="338" t="s">
        <v>33</v>
      </c>
      <c r="D49" s="583">
        <v>1</v>
      </c>
      <c r="E49" s="584">
        <v>0</v>
      </c>
      <c r="F49" s="583">
        <v>0</v>
      </c>
      <c r="G49" s="583">
        <v>1</v>
      </c>
      <c r="H49" s="583">
        <v>0</v>
      </c>
      <c r="I49" s="583">
        <v>42</v>
      </c>
      <c r="J49" s="584">
        <v>-42</v>
      </c>
      <c r="K49" s="583">
        <v>0</v>
      </c>
      <c r="L49" s="583">
        <v>0</v>
      </c>
      <c r="M49" s="583">
        <v>0</v>
      </c>
      <c r="N49" s="583">
        <v>0</v>
      </c>
      <c r="O49" s="583">
        <v>5</v>
      </c>
      <c r="P49" s="584">
        <v>0</v>
      </c>
    </row>
    <row r="51" spans="1:16" x14ac:dyDescent="0.25">
      <c r="A51" s="634" t="s">
        <v>28</v>
      </c>
    </row>
  </sheetData>
  <sortState xmlns:xlrd2="http://schemas.microsoft.com/office/spreadsheetml/2017/richdata2" ref="A2:P7">
    <sortCondition descending="1" ref="P2:P7"/>
    <sortCondition descending="1" ref="J2:J7"/>
    <sortCondition descending="1" ref="N2:N7"/>
    <sortCondition ref="C2:C7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4"/>
  <sheetViews>
    <sheetView workbookViewId="0">
      <selection activeCell="L18" sqref="L18"/>
    </sheetView>
  </sheetViews>
  <sheetFormatPr defaultRowHeight="14.3" x14ac:dyDescent="0.25"/>
  <cols>
    <col min="1" max="1" width="10.625" bestFit="1" customWidth="1"/>
    <col min="2" max="2" width="6" customWidth="1"/>
    <col min="7" max="7" width="2.625" customWidth="1"/>
    <col min="8" max="10" width="3.625" customWidth="1"/>
  </cols>
  <sheetData>
    <row r="1" spans="1:14" x14ac:dyDescent="0.25">
      <c r="B1" s="249" t="s">
        <v>132</v>
      </c>
      <c r="F1" s="294">
        <v>2020</v>
      </c>
    </row>
    <row r="2" spans="1:14" x14ac:dyDescent="0.25">
      <c r="A2" s="292">
        <v>43862</v>
      </c>
      <c r="B2" s="295">
        <v>14.15</v>
      </c>
      <c r="C2" s="712" t="s">
        <v>32</v>
      </c>
      <c r="D2" s="712"/>
      <c r="E2" s="712"/>
      <c r="F2" s="294">
        <v>42</v>
      </c>
      <c r="G2" s="293" t="s">
        <v>425</v>
      </c>
      <c r="H2" s="317">
        <v>0</v>
      </c>
      <c r="I2" s="713" t="s">
        <v>33</v>
      </c>
      <c r="J2" s="713"/>
      <c r="K2" s="713"/>
      <c r="L2" s="712" t="s">
        <v>69</v>
      </c>
      <c r="M2" s="712"/>
      <c r="N2" s="712"/>
    </row>
    <row r="3" spans="1:14" x14ac:dyDescent="0.25">
      <c r="A3" s="292">
        <v>43862</v>
      </c>
      <c r="B3" s="295">
        <v>16.45</v>
      </c>
      <c r="C3" s="712" t="s">
        <v>39</v>
      </c>
      <c r="D3" s="712"/>
      <c r="E3" s="712"/>
      <c r="F3" s="294">
        <v>19</v>
      </c>
      <c r="G3" s="293" t="s">
        <v>425</v>
      </c>
      <c r="H3" s="317">
        <v>12</v>
      </c>
      <c r="I3" s="713" t="s">
        <v>35</v>
      </c>
      <c r="J3" s="713"/>
      <c r="K3" s="713"/>
      <c r="L3" s="712" t="s">
        <v>72</v>
      </c>
      <c r="M3" s="712"/>
      <c r="N3" s="712"/>
    </row>
    <row r="4" spans="1:14" x14ac:dyDescent="0.25">
      <c r="A4" s="292">
        <v>43863</v>
      </c>
      <c r="B4" s="295">
        <v>15</v>
      </c>
      <c r="C4" s="712" t="s">
        <v>34</v>
      </c>
      <c r="D4" s="712"/>
      <c r="E4" s="712"/>
      <c r="F4" s="294">
        <v>24</v>
      </c>
      <c r="G4" s="293" t="s">
        <v>425</v>
      </c>
      <c r="H4" s="317">
        <v>17</v>
      </c>
      <c r="I4" s="713" t="s">
        <v>30</v>
      </c>
      <c r="J4" s="713"/>
      <c r="K4" s="713"/>
      <c r="L4" s="712" t="s">
        <v>70</v>
      </c>
      <c r="M4" s="712"/>
      <c r="N4" s="712"/>
    </row>
    <row r="5" spans="1:14" x14ac:dyDescent="0.25">
      <c r="A5" s="292">
        <v>43869</v>
      </c>
      <c r="B5" s="293">
        <v>14.15</v>
      </c>
      <c r="C5" s="712" t="s">
        <v>39</v>
      </c>
      <c r="D5" s="712"/>
      <c r="E5" s="712"/>
      <c r="F5" s="294">
        <v>24</v>
      </c>
      <c r="G5" s="293" t="s">
        <v>425</v>
      </c>
      <c r="H5" s="317">
        <v>14</v>
      </c>
      <c r="I5" s="713" t="s">
        <v>32</v>
      </c>
      <c r="J5" s="713"/>
      <c r="K5" s="713"/>
      <c r="L5" s="712" t="s">
        <v>72</v>
      </c>
      <c r="M5" s="712"/>
      <c r="N5" s="712"/>
    </row>
    <row r="6" spans="1:14" x14ac:dyDescent="0.25">
      <c r="A6" s="292">
        <v>43869</v>
      </c>
      <c r="B6" s="295">
        <v>16.45</v>
      </c>
      <c r="C6" s="712" t="s">
        <v>35</v>
      </c>
      <c r="D6" s="712"/>
      <c r="E6" s="712"/>
      <c r="F6" s="294">
        <v>6</v>
      </c>
      <c r="G6" s="293" t="s">
        <v>425</v>
      </c>
      <c r="H6" s="317">
        <v>13</v>
      </c>
      <c r="I6" s="713" t="s">
        <v>30</v>
      </c>
      <c r="J6" s="713"/>
      <c r="K6" s="713"/>
      <c r="L6" s="712" t="s">
        <v>66</v>
      </c>
      <c r="M6" s="712"/>
      <c r="N6" s="712"/>
    </row>
    <row r="7" spans="1:14" x14ac:dyDescent="0.25">
      <c r="A7" s="292">
        <v>43870</v>
      </c>
      <c r="B7" s="295">
        <v>15</v>
      </c>
      <c r="C7" s="712" t="s">
        <v>34</v>
      </c>
      <c r="D7" s="712"/>
      <c r="E7" s="712"/>
      <c r="F7" s="294">
        <v>35</v>
      </c>
      <c r="G7" s="293" t="s">
        <v>425</v>
      </c>
      <c r="H7" s="317">
        <v>22</v>
      </c>
      <c r="I7" s="713" t="s">
        <v>33</v>
      </c>
      <c r="J7" s="713"/>
      <c r="K7" s="713"/>
      <c r="L7" s="712" t="s">
        <v>70</v>
      </c>
      <c r="M7" s="712"/>
      <c r="N7" s="712"/>
    </row>
    <row r="8" spans="1:14" x14ac:dyDescent="0.25">
      <c r="A8" s="292">
        <v>43883</v>
      </c>
      <c r="B8" s="293">
        <v>14.15</v>
      </c>
      <c r="C8" s="712" t="s">
        <v>33</v>
      </c>
      <c r="D8" s="712"/>
      <c r="E8" s="712"/>
      <c r="F8" s="294">
        <v>0</v>
      </c>
      <c r="G8" s="293" t="s">
        <v>425</v>
      </c>
      <c r="H8" s="317">
        <v>17</v>
      </c>
      <c r="I8" s="713" t="s">
        <v>35</v>
      </c>
      <c r="J8" s="713"/>
      <c r="K8" s="713"/>
      <c r="L8" s="712" t="s">
        <v>68</v>
      </c>
      <c r="M8" s="712"/>
      <c r="N8" s="712"/>
    </row>
    <row r="9" spans="1:14" x14ac:dyDescent="0.25">
      <c r="A9" s="292">
        <v>43883</v>
      </c>
      <c r="B9" s="295">
        <v>16.45</v>
      </c>
      <c r="C9" s="712" t="s">
        <v>32</v>
      </c>
      <c r="D9" s="712"/>
      <c r="E9" s="712"/>
      <c r="F9" s="294">
        <v>23</v>
      </c>
      <c r="G9" s="293" t="s">
        <v>425</v>
      </c>
      <c r="H9" s="317">
        <v>27</v>
      </c>
      <c r="I9" s="713" t="s">
        <v>34</v>
      </c>
      <c r="J9" s="713"/>
      <c r="K9" s="713"/>
      <c r="L9" s="712" t="s">
        <v>69</v>
      </c>
      <c r="M9" s="712"/>
      <c r="N9" s="712"/>
    </row>
    <row r="10" spans="1:14" x14ac:dyDescent="0.25">
      <c r="A10" s="292">
        <v>43884</v>
      </c>
      <c r="B10" s="295">
        <v>15</v>
      </c>
      <c r="C10" s="712" t="s">
        <v>30</v>
      </c>
      <c r="D10" s="712"/>
      <c r="E10" s="712"/>
      <c r="F10" s="294">
        <v>24</v>
      </c>
      <c r="G10" s="293" t="s">
        <v>425</v>
      </c>
      <c r="H10" s="317">
        <v>12</v>
      </c>
      <c r="I10" s="713" t="s">
        <v>39</v>
      </c>
      <c r="J10" s="713"/>
      <c r="K10" s="713"/>
      <c r="L10" s="712" t="s">
        <v>67</v>
      </c>
      <c r="M10" s="712"/>
      <c r="N10" s="712"/>
    </row>
    <row r="11" spans="1:14" x14ac:dyDescent="0.25">
      <c r="A11" s="292">
        <v>43897</v>
      </c>
      <c r="B11" s="295">
        <v>16.45</v>
      </c>
      <c r="C11" s="712" t="s">
        <v>30</v>
      </c>
      <c r="D11" s="712"/>
      <c r="E11" s="712"/>
      <c r="F11" s="294">
        <v>33</v>
      </c>
      <c r="G11" s="293" t="s">
        <v>425</v>
      </c>
      <c r="H11" s="317">
        <v>30</v>
      </c>
      <c r="I11" s="713" t="s">
        <v>32</v>
      </c>
      <c r="J11" s="713"/>
      <c r="K11" s="713"/>
      <c r="L11" s="712" t="s">
        <v>67</v>
      </c>
      <c r="M11" s="712"/>
      <c r="N11" s="712"/>
    </row>
    <row r="12" spans="1:14" x14ac:dyDescent="0.25">
      <c r="A12" s="292">
        <v>43898</v>
      </c>
      <c r="B12" s="295">
        <v>15</v>
      </c>
      <c r="C12" s="712" t="s">
        <v>35</v>
      </c>
      <c r="D12" s="712"/>
      <c r="E12" s="712"/>
      <c r="F12" s="294">
        <v>26</v>
      </c>
      <c r="G12" s="293" t="s">
        <v>425</v>
      </c>
      <c r="H12" s="317">
        <v>17</v>
      </c>
      <c r="I12" s="713" t="s">
        <v>34</v>
      </c>
      <c r="J12" s="713"/>
      <c r="K12" s="713"/>
      <c r="L12" s="712" t="s">
        <v>66</v>
      </c>
      <c r="M12" s="712"/>
      <c r="N12" s="712"/>
    </row>
    <row r="13" spans="1:14" x14ac:dyDescent="0.25">
      <c r="A13" s="292">
        <v>44128</v>
      </c>
      <c r="B13" s="295">
        <v>15.3</v>
      </c>
      <c r="C13" s="294"/>
      <c r="D13" s="294"/>
      <c r="E13" s="294" t="s">
        <v>39</v>
      </c>
      <c r="F13" s="294">
        <v>50</v>
      </c>
      <c r="G13" s="293" t="s">
        <v>425</v>
      </c>
      <c r="H13" s="317">
        <v>17</v>
      </c>
      <c r="I13" s="290" t="s">
        <v>33</v>
      </c>
      <c r="J13" s="290"/>
      <c r="K13" s="290"/>
      <c r="L13" s="294"/>
      <c r="M13" s="290"/>
      <c r="N13" s="294" t="s">
        <v>72</v>
      </c>
    </row>
    <row r="14" spans="1:14" x14ac:dyDescent="0.25">
      <c r="A14" s="292">
        <v>44135</v>
      </c>
      <c r="B14" s="293">
        <v>14.15</v>
      </c>
      <c r="C14" s="712" t="s">
        <v>32</v>
      </c>
      <c r="D14" s="712"/>
      <c r="E14" s="712"/>
      <c r="F14" s="294">
        <v>10</v>
      </c>
      <c r="G14" s="293" t="s">
        <v>425</v>
      </c>
      <c r="H14" s="317">
        <v>14</v>
      </c>
      <c r="I14" s="713" t="s">
        <v>35</v>
      </c>
      <c r="J14" s="713"/>
      <c r="K14" s="713"/>
      <c r="L14" s="712" t="s">
        <v>394</v>
      </c>
      <c r="M14" s="712"/>
      <c r="N14" s="712"/>
    </row>
    <row r="15" spans="1:14" x14ac:dyDescent="0.25">
      <c r="A15" s="292">
        <v>44135</v>
      </c>
      <c r="B15" s="295">
        <v>16.45</v>
      </c>
      <c r="C15" s="712" t="s">
        <v>33</v>
      </c>
      <c r="D15" s="712"/>
      <c r="E15" s="712"/>
      <c r="F15" s="294">
        <v>5</v>
      </c>
      <c r="G15" s="293" t="s">
        <v>425</v>
      </c>
      <c r="H15" s="317">
        <v>34</v>
      </c>
      <c r="I15" s="713" t="s">
        <v>30</v>
      </c>
      <c r="J15" s="713"/>
      <c r="K15" s="713"/>
      <c r="L15" s="712" t="s">
        <v>68</v>
      </c>
      <c r="M15" s="712"/>
      <c r="N15" s="712"/>
    </row>
    <row r="16" spans="1:14" x14ac:dyDescent="0.25">
      <c r="A16" s="292">
        <v>44135</v>
      </c>
      <c r="B16" s="295">
        <v>20.100000000000001</v>
      </c>
      <c r="C16" s="712" t="s">
        <v>34</v>
      </c>
      <c r="D16" s="712"/>
      <c r="E16" s="712"/>
      <c r="F16" s="294">
        <v>35</v>
      </c>
      <c r="G16" s="293" t="s">
        <v>425</v>
      </c>
      <c r="H16" s="317">
        <v>27</v>
      </c>
      <c r="I16" s="713" t="s">
        <v>39</v>
      </c>
      <c r="J16" s="713"/>
      <c r="K16" s="713"/>
      <c r="L16" s="712" t="s">
        <v>70</v>
      </c>
      <c r="M16" s="712"/>
      <c r="N16" s="712"/>
    </row>
    <row r="17" spans="1:14" x14ac:dyDescent="0.25">
      <c r="A17" s="570"/>
      <c r="B17" s="571"/>
      <c r="C17" s="316"/>
      <c r="D17" s="316"/>
      <c r="E17" s="316"/>
      <c r="F17" s="316"/>
      <c r="G17" s="316"/>
      <c r="H17" s="355"/>
      <c r="I17" s="315"/>
      <c r="J17" s="315"/>
      <c r="K17" s="315"/>
      <c r="L17" s="316"/>
      <c r="M17" s="316"/>
      <c r="N17" s="316"/>
    </row>
    <row r="18" spans="1:14" x14ac:dyDescent="0.25">
      <c r="B18" t="s">
        <v>58</v>
      </c>
      <c r="F18" s="294">
        <v>2019</v>
      </c>
    </row>
    <row r="19" spans="1:14" x14ac:dyDescent="0.25">
      <c r="A19" s="292">
        <v>43497</v>
      </c>
      <c r="B19" s="295">
        <v>20</v>
      </c>
      <c r="C19" s="712" t="s">
        <v>34</v>
      </c>
      <c r="D19" s="712"/>
      <c r="E19" s="712"/>
      <c r="F19" s="294">
        <v>19</v>
      </c>
      <c r="G19" s="293" t="s">
        <v>425</v>
      </c>
      <c r="H19" s="317">
        <v>24</v>
      </c>
      <c r="I19" s="713" t="s">
        <v>32</v>
      </c>
      <c r="J19" s="713"/>
      <c r="K19" s="713"/>
      <c r="L19" s="712" t="s">
        <v>70</v>
      </c>
      <c r="M19" s="712"/>
      <c r="N19" s="712"/>
    </row>
    <row r="20" spans="1:14" x14ac:dyDescent="0.25">
      <c r="A20" s="292">
        <v>43498</v>
      </c>
      <c r="B20" s="295">
        <v>14.15</v>
      </c>
      <c r="C20" s="712" t="s">
        <v>35</v>
      </c>
      <c r="D20" s="712"/>
      <c r="E20" s="712"/>
      <c r="F20" s="294">
        <v>33</v>
      </c>
      <c r="G20" s="293" t="s">
        <v>425</v>
      </c>
      <c r="H20" s="317">
        <v>20</v>
      </c>
      <c r="I20" s="713" t="s">
        <v>33</v>
      </c>
      <c r="J20" s="713"/>
      <c r="K20" s="713"/>
      <c r="L20" s="712" t="s">
        <v>71</v>
      </c>
      <c r="M20" s="712"/>
      <c r="N20" s="712"/>
    </row>
    <row r="21" spans="1:14" x14ac:dyDescent="0.25">
      <c r="A21" s="292">
        <v>43498</v>
      </c>
      <c r="B21" s="295">
        <v>16.149999999999999</v>
      </c>
      <c r="C21" s="712" t="s">
        <v>39</v>
      </c>
      <c r="D21" s="712"/>
      <c r="E21" s="712"/>
      <c r="F21" s="294">
        <v>20</v>
      </c>
      <c r="G21" s="293" t="s">
        <v>425</v>
      </c>
      <c r="H21" s="317">
        <v>32</v>
      </c>
      <c r="I21" s="713" t="s">
        <v>30</v>
      </c>
      <c r="J21" s="713"/>
      <c r="K21" s="713"/>
      <c r="L21" s="712" t="s">
        <v>72</v>
      </c>
      <c r="M21" s="712"/>
      <c r="N21" s="712"/>
    </row>
    <row r="22" spans="1:14" x14ac:dyDescent="0.25">
      <c r="A22" s="292">
        <v>43505</v>
      </c>
      <c r="B22" s="293">
        <v>14.15</v>
      </c>
      <c r="C22" s="712" t="s">
        <v>35</v>
      </c>
      <c r="D22" s="712"/>
      <c r="E22" s="712"/>
      <c r="F22" s="294">
        <v>22</v>
      </c>
      <c r="G22" s="293" t="s">
        <v>425</v>
      </c>
      <c r="H22" s="317">
        <v>13</v>
      </c>
      <c r="I22" s="713" t="s">
        <v>39</v>
      </c>
      <c r="J22" s="713"/>
      <c r="K22" s="713"/>
      <c r="L22" s="712" t="s">
        <v>71</v>
      </c>
      <c r="M22" s="712"/>
      <c r="N22" s="712"/>
    </row>
    <row r="23" spans="1:14" x14ac:dyDescent="0.25">
      <c r="A23" s="292">
        <v>43505</v>
      </c>
      <c r="B23" s="295">
        <v>16.45</v>
      </c>
      <c r="C23" s="712" t="s">
        <v>33</v>
      </c>
      <c r="D23" s="712"/>
      <c r="E23" s="712"/>
      <c r="F23" s="294">
        <v>15</v>
      </c>
      <c r="G23" s="293" t="s">
        <v>425</v>
      </c>
      <c r="H23" s="317">
        <v>26</v>
      </c>
      <c r="I23" s="713" t="s">
        <v>32</v>
      </c>
      <c r="J23" s="713"/>
      <c r="K23" s="713"/>
      <c r="L23" s="712" t="s">
        <v>68</v>
      </c>
      <c r="M23" s="712"/>
      <c r="N23" s="712"/>
    </row>
    <row r="24" spans="1:14" x14ac:dyDescent="0.25">
      <c r="A24" s="292">
        <v>43506</v>
      </c>
      <c r="B24" s="295">
        <v>15</v>
      </c>
      <c r="C24" s="712" t="s">
        <v>30</v>
      </c>
      <c r="D24" s="712"/>
      <c r="E24" s="712"/>
      <c r="F24" s="294">
        <v>44</v>
      </c>
      <c r="G24" s="293" t="s">
        <v>425</v>
      </c>
      <c r="H24" s="317">
        <v>8</v>
      </c>
      <c r="I24" s="713" t="s">
        <v>34</v>
      </c>
      <c r="J24" s="713"/>
      <c r="K24" s="713"/>
      <c r="L24" s="712" t="s">
        <v>67</v>
      </c>
      <c r="M24" s="712"/>
      <c r="N24" s="712"/>
    </row>
    <row r="25" spans="1:14" x14ac:dyDescent="0.25">
      <c r="A25" s="292">
        <v>43519</v>
      </c>
      <c r="B25" s="293">
        <v>14.15</v>
      </c>
      <c r="C25" s="712" t="s">
        <v>34</v>
      </c>
      <c r="D25" s="712"/>
      <c r="E25" s="712"/>
      <c r="F25" s="294">
        <v>27</v>
      </c>
      <c r="G25" s="293" t="s">
        <v>425</v>
      </c>
      <c r="H25" s="317">
        <v>10</v>
      </c>
      <c r="I25" s="713" t="s">
        <v>35</v>
      </c>
      <c r="J25" s="713"/>
      <c r="K25" s="713"/>
      <c r="L25" s="712" t="s">
        <v>70</v>
      </c>
      <c r="M25" s="712"/>
      <c r="N25" s="712"/>
    </row>
    <row r="26" spans="1:14" x14ac:dyDescent="0.25">
      <c r="A26" s="292">
        <v>43519</v>
      </c>
      <c r="B26" s="295">
        <v>16.45</v>
      </c>
      <c r="C26" s="712" t="s">
        <v>32</v>
      </c>
      <c r="D26" s="712"/>
      <c r="E26" s="712"/>
      <c r="F26" s="294">
        <v>21</v>
      </c>
      <c r="G26" s="293" t="s">
        <v>425</v>
      </c>
      <c r="H26" s="317">
        <v>13</v>
      </c>
      <c r="I26" s="713" t="s">
        <v>30</v>
      </c>
      <c r="J26" s="713"/>
      <c r="K26" s="713"/>
      <c r="L26" s="712" t="s">
        <v>69</v>
      </c>
      <c r="M26" s="712"/>
      <c r="N26" s="712"/>
    </row>
    <row r="27" spans="1:14" x14ac:dyDescent="0.25">
      <c r="A27" s="292">
        <v>43520</v>
      </c>
      <c r="B27" s="295">
        <v>15</v>
      </c>
      <c r="C27" s="712" t="s">
        <v>33</v>
      </c>
      <c r="D27" s="712"/>
      <c r="E27" s="712"/>
      <c r="F27" s="294">
        <v>26</v>
      </c>
      <c r="G27" s="293" t="s">
        <v>425</v>
      </c>
      <c r="H27" s="317">
        <v>16</v>
      </c>
      <c r="I27" s="713" t="s">
        <v>39</v>
      </c>
      <c r="J27" s="713"/>
      <c r="K27" s="713"/>
      <c r="L27" s="712" t="s">
        <v>68</v>
      </c>
      <c r="M27" s="712"/>
      <c r="N27" s="712"/>
    </row>
    <row r="28" spans="1:14" x14ac:dyDescent="0.25">
      <c r="A28" s="292">
        <v>43533</v>
      </c>
      <c r="B28" s="293">
        <v>14.15</v>
      </c>
      <c r="C28" s="712" t="s">
        <v>35</v>
      </c>
      <c r="D28" s="712"/>
      <c r="E28" s="712"/>
      <c r="F28" s="294">
        <v>11</v>
      </c>
      <c r="G28" s="293" t="s">
        <v>425</v>
      </c>
      <c r="H28" s="317">
        <v>18</v>
      </c>
      <c r="I28" s="713" t="s">
        <v>32</v>
      </c>
      <c r="J28" s="713"/>
      <c r="K28" s="713"/>
      <c r="L28" s="712" t="s">
        <v>71</v>
      </c>
      <c r="M28" s="712"/>
      <c r="N28" s="712"/>
    </row>
    <row r="29" spans="1:14" x14ac:dyDescent="0.25">
      <c r="A29" s="292">
        <v>43533</v>
      </c>
      <c r="B29" s="295">
        <v>16.45</v>
      </c>
      <c r="C29" s="712" t="s">
        <v>30</v>
      </c>
      <c r="D29" s="712"/>
      <c r="E29" s="712"/>
      <c r="F29" s="294">
        <v>57</v>
      </c>
      <c r="G29" s="293" t="s">
        <v>425</v>
      </c>
      <c r="H29" s="317">
        <v>14</v>
      </c>
      <c r="I29" s="713" t="s">
        <v>33</v>
      </c>
      <c r="J29" s="713"/>
      <c r="K29" s="713"/>
      <c r="L29" s="712" t="s">
        <v>67</v>
      </c>
      <c r="M29" s="712"/>
      <c r="N29" s="712"/>
    </row>
    <row r="30" spans="1:14" x14ac:dyDescent="0.25">
      <c r="A30" s="292">
        <v>43534</v>
      </c>
      <c r="B30" s="295">
        <v>15</v>
      </c>
      <c r="C30" s="712" t="s">
        <v>39</v>
      </c>
      <c r="D30" s="712"/>
      <c r="E30" s="712"/>
      <c r="F30" s="294">
        <v>26</v>
      </c>
      <c r="G30" s="293" t="s">
        <v>425</v>
      </c>
      <c r="H30" s="317">
        <v>14</v>
      </c>
      <c r="I30" s="713" t="s">
        <v>34</v>
      </c>
      <c r="J30" s="713"/>
      <c r="K30" s="713"/>
      <c r="L30" s="712" t="s">
        <v>72</v>
      </c>
      <c r="M30" s="712"/>
      <c r="N30" s="712"/>
    </row>
    <row r="31" spans="1:14" x14ac:dyDescent="0.25">
      <c r="A31" s="292">
        <v>43540</v>
      </c>
      <c r="B31" s="295">
        <v>12.3</v>
      </c>
      <c r="C31" s="712" t="s">
        <v>33</v>
      </c>
      <c r="D31" s="712"/>
      <c r="E31" s="712"/>
      <c r="F31" s="294">
        <v>14</v>
      </c>
      <c r="G31" s="293" t="s">
        <v>425</v>
      </c>
      <c r="H31" s="317">
        <v>25</v>
      </c>
      <c r="I31" s="713" t="s">
        <v>34</v>
      </c>
      <c r="J31" s="713"/>
      <c r="K31" s="713"/>
      <c r="L31" s="712" t="s">
        <v>68</v>
      </c>
      <c r="M31" s="712"/>
      <c r="N31" s="712"/>
    </row>
    <row r="32" spans="1:14" x14ac:dyDescent="0.25">
      <c r="A32" s="292">
        <v>43540</v>
      </c>
      <c r="B32" s="295">
        <v>14.45</v>
      </c>
      <c r="C32" s="712" t="s">
        <v>32</v>
      </c>
      <c r="D32" s="712"/>
      <c r="E32" s="712"/>
      <c r="F32" s="294">
        <v>25</v>
      </c>
      <c r="G32" s="293" t="s">
        <v>425</v>
      </c>
      <c r="H32" s="317">
        <v>7</v>
      </c>
      <c r="I32" s="713" t="s">
        <v>39</v>
      </c>
      <c r="J32" s="713"/>
      <c r="K32" s="713"/>
      <c r="L32" s="712" t="s">
        <v>69</v>
      </c>
      <c r="M32" s="712"/>
      <c r="N32" s="712"/>
    </row>
    <row r="33" spans="1:14" x14ac:dyDescent="0.25">
      <c r="A33" s="292">
        <v>43540</v>
      </c>
      <c r="B33" s="295">
        <v>17</v>
      </c>
      <c r="C33" s="712" t="s">
        <v>30</v>
      </c>
      <c r="D33" s="712"/>
      <c r="E33" s="712"/>
      <c r="F33" s="294">
        <v>38</v>
      </c>
      <c r="G33" s="293" t="s">
        <v>425</v>
      </c>
      <c r="H33" s="317">
        <v>38</v>
      </c>
      <c r="I33" s="713" t="s">
        <v>35</v>
      </c>
      <c r="J33" s="713"/>
      <c r="K33" s="713"/>
      <c r="L33" s="712" t="s">
        <v>67</v>
      </c>
      <c r="M33" s="712"/>
      <c r="N33" s="712"/>
    </row>
    <row r="35" spans="1:14" x14ac:dyDescent="0.25">
      <c r="A35" s="714" t="s">
        <v>58</v>
      </c>
      <c r="B35" s="714"/>
      <c r="C35" s="290"/>
      <c r="D35" s="290"/>
      <c r="E35" s="290"/>
      <c r="F35" s="294">
        <v>2018</v>
      </c>
      <c r="G35" s="290"/>
      <c r="H35" s="290"/>
      <c r="I35" s="291"/>
      <c r="J35" s="291"/>
      <c r="K35" s="291"/>
      <c r="L35" s="291"/>
      <c r="M35" s="291"/>
      <c r="N35" s="291"/>
    </row>
    <row r="36" spans="1:14" x14ac:dyDescent="0.25">
      <c r="A36" s="292">
        <v>43134</v>
      </c>
      <c r="B36" s="293">
        <v>14.15</v>
      </c>
      <c r="C36" s="712" t="s">
        <v>32</v>
      </c>
      <c r="D36" s="712"/>
      <c r="E36" s="712"/>
      <c r="F36" s="294">
        <v>34</v>
      </c>
      <c r="G36" s="293" t="s">
        <v>425</v>
      </c>
      <c r="H36" s="317">
        <v>7</v>
      </c>
      <c r="I36" s="713" t="s">
        <v>35</v>
      </c>
      <c r="J36" s="713"/>
      <c r="K36" s="713"/>
      <c r="L36" s="712" t="s">
        <v>69</v>
      </c>
      <c r="M36" s="712"/>
      <c r="N36" s="712"/>
    </row>
    <row r="37" spans="1:14" x14ac:dyDescent="0.25">
      <c r="A37" s="292">
        <v>43134</v>
      </c>
      <c r="B37" s="295">
        <v>16.45</v>
      </c>
      <c r="C37" s="712" t="s">
        <v>34</v>
      </c>
      <c r="D37" s="712"/>
      <c r="E37" s="712"/>
      <c r="F37" s="294">
        <v>13</v>
      </c>
      <c r="G37" s="293" t="s">
        <v>425</v>
      </c>
      <c r="H37" s="317">
        <v>15</v>
      </c>
      <c r="I37" s="713" t="s">
        <v>39</v>
      </c>
      <c r="J37" s="713"/>
      <c r="K37" s="713"/>
      <c r="L37" s="712" t="s">
        <v>70</v>
      </c>
      <c r="M37" s="712"/>
      <c r="N37" s="712"/>
    </row>
    <row r="38" spans="1:14" x14ac:dyDescent="0.25">
      <c r="A38" s="292">
        <v>43135</v>
      </c>
      <c r="B38" s="295">
        <v>15</v>
      </c>
      <c r="C38" s="712" t="s">
        <v>33</v>
      </c>
      <c r="D38" s="712"/>
      <c r="E38" s="712"/>
      <c r="F38" s="294">
        <v>15</v>
      </c>
      <c r="G38" s="293" t="s">
        <v>425</v>
      </c>
      <c r="H38" s="317">
        <v>46</v>
      </c>
      <c r="I38" s="713" t="s">
        <v>30</v>
      </c>
      <c r="J38" s="713"/>
      <c r="K38" s="713"/>
      <c r="L38" s="712" t="s">
        <v>68</v>
      </c>
      <c r="M38" s="712"/>
      <c r="N38" s="712"/>
    </row>
    <row r="39" spans="1:14" x14ac:dyDescent="0.25">
      <c r="A39" s="292">
        <v>43141</v>
      </c>
      <c r="B39" s="293">
        <v>14.15</v>
      </c>
      <c r="C39" s="712" t="s">
        <v>39</v>
      </c>
      <c r="D39" s="712"/>
      <c r="E39" s="712"/>
      <c r="F39" s="294">
        <v>56</v>
      </c>
      <c r="G39" s="293" t="s">
        <v>425</v>
      </c>
      <c r="H39" s="317">
        <v>19</v>
      </c>
      <c r="I39" s="713" t="s">
        <v>33</v>
      </c>
      <c r="J39" s="713"/>
      <c r="K39" s="713"/>
      <c r="L39" s="712" t="s">
        <v>72</v>
      </c>
      <c r="M39" s="712"/>
      <c r="N39" s="712"/>
    </row>
    <row r="40" spans="1:14" x14ac:dyDescent="0.25">
      <c r="A40" s="292">
        <v>43141</v>
      </c>
      <c r="B40" s="295">
        <v>16.45</v>
      </c>
      <c r="C40" s="712" t="s">
        <v>30</v>
      </c>
      <c r="D40" s="712"/>
      <c r="E40" s="712"/>
      <c r="F40" s="294">
        <v>12</v>
      </c>
      <c r="G40" s="293" t="s">
        <v>425</v>
      </c>
      <c r="H40" s="317">
        <v>6</v>
      </c>
      <c r="I40" s="713" t="s">
        <v>32</v>
      </c>
      <c r="J40" s="713"/>
      <c r="K40" s="713"/>
      <c r="L40" s="712" t="s">
        <v>67</v>
      </c>
      <c r="M40" s="712"/>
      <c r="N40" s="712"/>
    </row>
    <row r="41" spans="1:14" x14ac:dyDescent="0.25">
      <c r="A41" s="292">
        <v>43142</v>
      </c>
      <c r="B41" s="295">
        <v>15</v>
      </c>
      <c r="C41" s="712" t="s">
        <v>35</v>
      </c>
      <c r="D41" s="712"/>
      <c r="E41" s="712"/>
      <c r="F41" s="294">
        <v>32</v>
      </c>
      <c r="G41" s="293" t="s">
        <v>425</v>
      </c>
      <c r="H41" s="317">
        <v>26</v>
      </c>
      <c r="I41" s="713" t="s">
        <v>34</v>
      </c>
      <c r="J41" s="713"/>
      <c r="K41" s="713"/>
      <c r="L41" s="712" t="s">
        <v>71</v>
      </c>
      <c r="M41" s="712"/>
      <c r="N41" s="712"/>
    </row>
    <row r="42" spans="1:14" x14ac:dyDescent="0.25">
      <c r="A42" s="292">
        <v>43154</v>
      </c>
      <c r="B42" s="295">
        <v>20</v>
      </c>
      <c r="C42" s="712" t="s">
        <v>34</v>
      </c>
      <c r="D42" s="712"/>
      <c r="E42" s="712"/>
      <c r="F42" s="294">
        <v>34</v>
      </c>
      <c r="G42" s="293" t="s">
        <v>425</v>
      </c>
      <c r="H42" s="317">
        <v>17</v>
      </c>
      <c r="I42" s="713" t="s">
        <v>33</v>
      </c>
      <c r="J42" s="713"/>
      <c r="K42" s="713"/>
      <c r="L42" s="712" t="s">
        <v>113</v>
      </c>
      <c r="M42" s="712"/>
      <c r="N42" s="712"/>
    </row>
    <row r="43" spans="1:14" x14ac:dyDescent="0.25">
      <c r="A43" s="292">
        <v>43155</v>
      </c>
      <c r="B43" s="295">
        <v>14.15</v>
      </c>
      <c r="C43" s="712" t="s">
        <v>39</v>
      </c>
      <c r="D43" s="712"/>
      <c r="E43" s="712"/>
      <c r="F43" s="294">
        <v>37</v>
      </c>
      <c r="G43" s="293" t="s">
        <v>425</v>
      </c>
      <c r="H43" s="317">
        <v>27</v>
      </c>
      <c r="I43" s="713" t="s">
        <v>32</v>
      </c>
      <c r="J43" s="713"/>
      <c r="K43" s="713"/>
      <c r="L43" s="712" t="s">
        <v>72</v>
      </c>
      <c r="M43" s="712"/>
      <c r="N43" s="712"/>
    </row>
    <row r="44" spans="1:14" x14ac:dyDescent="0.25">
      <c r="A44" s="292">
        <v>43155</v>
      </c>
      <c r="B44" s="295">
        <v>16.45</v>
      </c>
      <c r="C44" s="712" t="s">
        <v>35</v>
      </c>
      <c r="D44" s="712"/>
      <c r="E44" s="712"/>
      <c r="F44" s="294">
        <v>25</v>
      </c>
      <c r="G44" s="293" t="s">
        <v>425</v>
      </c>
      <c r="H44" s="317">
        <v>13</v>
      </c>
      <c r="I44" s="713" t="s">
        <v>30</v>
      </c>
      <c r="J44" s="713"/>
      <c r="K44" s="713"/>
      <c r="L44" s="712" t="s">
        <v>71</v>
      </c>
      <c r="M44" s="712"/>
      <c r="N44" s="712"/>
    </row>
    <row r="45" spans="1:14" x14ac:dyDescent="0.25">
      <c r="A45" s="292">
        <v>43169</v>
      </c>
      <c r="B45" s="293">
        <v>14.15</v>
      </c>
      <c r="C45" s="712" t="s">
        <v>39</v>
      </c>
      <c r="D45" s="712"/>
      <c r="E45" s="712"/>
      <c r="F45" s="294">
        <v>28</v>
      </c>
      <c r="G45" s="293" t="s">
        <v>425</v>
      </c>
      <c r="H45" s="317">
        <v>8</v>
      </c>
      <c r="I45" s="713" t="s">
        <v>35</v>
      </c>
      <c r="J45" s="713"/>
      <c r="K45" s="713"/>
      <c r="L45" s="712" t="s">
        <v>72</v>
      </c>
      <c r="M45" s="712"/>
      <c r="N45" s="712"/>
    </row>
    <row r="46" spans="1:14" x14ac:dyDescent="0.25">
      <c r="A46" s="292">
        <v>43169</v>
      </c>
      <c r="B46" s="295">
        <v>16.45</v>
      </c>
      <c r="C46" s="712" t="s">
        <v>34</v>
      </c>
      <c r="D46" s="712"/>
      <c r="E46" s="712"/>
      <c r="F46" s="294">
        <v>22</v>
      </c>
      <c r="G46" s="293" t="s">
        <v>425</v>
      </c>
      <c r="H46" s="317">
        <v>16</v>
      </c>
      <c r="I46" s="713" t="s">
        <v>30</v>
      </c>
      <c r="J46" s="713"/>
      <c r="K46" s="713"/>
      <c r="L46" s="712" t="s">
        <v>70</v>
      </c>
      <c r="M46" s="712"/>
      <c r="N46" s="712"/>
    </row>
    <row r="47" spans="1:14" x14ac:dyDescent="0.25">
      <c r="A47" s="292">
        <v>43170</v>
      </c>
      <c r="B47" s="295">
        <v>15</v>
      </c>
      <c r="C47" s="712" t="s">
        <v>32</v>
      </c>
      <c r="D47" s="712"/>
      <c r="E47" s="712"/>
      <c r="F47" s="294">
        <v>38</v>
      </c>
      <c r="G47" s="293" t="s">
        <v>425</v>
      </c>
      <c r="H47" s="317">
        <v>14</v>
      </c>
      <c r="I47" s="713" t="s">
        <v>33</v>
      </c>
      <c r="J47" s="713"/>
      <c r="K47" s="713"/>
      <c r="L47" s="712" t="s">
        <v>69</v>
      </c>
      <c r="M47" s="712"/>
      <c r="N47" s="712"/>
    </row>
    <row r="48" spans="1:14" x14ac:dyDescent="0.25">
      <c r="A48" s="292">
        <v>43176</v>
      </c>
      <c r="B48" s="295">
        <v>12.3</v>
      </c>
      <c r="C48" s="712" t="s">
        <v>33</v>
      </c>
      <c r="D48" s="712"/>
      <c r="E48" s="712"/>
      <c r="F48" s="294">
        <v>27</v>
      </c>
      <c r="G48" s="293" t="s">
        <v>425</v>
      </c>
      <c r="H48" s="317">
        <v>29</v>
      </c>
      <c r="I48" s="713" t="s">
        <v>35</v>
      </c>
      <c r="J48" s="713"/>
      <c r="K48" s="713"/>
      <c r="L48" s="712" t="s">
        <v>68</v>
      </c>
      <c r="M48" s="712"/>
      <c r="N48" s="712"/>
    </row>
    <row r="49" spans="1:14" x14ac:dyDescent="0.25">
      <c r="A49" s="292">
        <v>43176</v>
      </c>
      <c r="B49" s="295">
        <v>14.45</v>
      </c>
      <c r="C49" s="712" t="s">
        <v>30</v>
      </c>
      <c r="D49" s="712"/>
      <c r="E49" s="712"/>
      <c r="F49" s="294">
        <v>15</v>
      </c>
      <c r="G49" s="293" t="s">
        <v>425</v>
      </c>
      <c r="H49" s="317">
        <v>24</v>
      </c>
      <c r="I49" s="713" t="s">
        <v>39</v>
      </c>
      <c r="J49" s="713"/>
      <c r="K49" s="713"/>
      <c r="L49" s="712" t="s">
        <v>67</v>
      </c>
      <c r="M49" s="712"/>
      <c r="N49" s="712"/>
    </row>
    <row r="50" spans="1:14" x14ac:dyDescent="0.25">
      <c r="A50" s="292">
        <v>43176</v>
      </c>
      <c r="B50" s="295">
        <v>17</v>
      </c>
      <c r="C50" s="712" t="s">
        <v>32</v>
      </c>
      <c r="D50" s="712"/>
      <c r="E50" s="712"/>
      <c r="F50" s="294">
        <v>14</v>
      </c>
      <c r="G50" s="293" t="s">
        <v>425</v>
      </c>
      <c r="H50" s="317">
        <v>13</v>
      </c>
      <c r="I50" s="713" t="s">
        <v>34</v>
      </c>
      <c r="J50" s="713"/>
      <c r="K50" s="713"/>
      <c r="L50" s="712" t="s">
        <v>69</v>
      </c>
      <c r="M50" s="712"/>
      <c r="N50" s="712"/>
    </row>
    <row r="51" spans="1:14" x14ac:dyDescent="0.25">
      <c r="A51" s="289"/>
      <c r="B51" s="293" t="s">
        <v>58</v>
      </c>
      <c r="C51" s="290"/>
      <c r="D51" s="294"/>
      <c r="E51" s="290"/>
      <c r="F51" s="294"/>
      <c r="G51" s="290"/>
      <c r="H51" s="317"/>
      <c r="I51" s="290"/>
      <c r="J51" s="290"/>
      <c r="K51" s="290"/>
      <c r="L51" s="290"/>
      <c r="M51" s="290"/>
      <c r="N51" s="290"/>
    </row>
    <row r="52" spans="1:14" x14ac:dyDescent="0.25">
      <c r="F52" s="427"/>
    </row>
    <row r="53" spans="1:14" x14ac:dyDescent="0.25">
      <c r="A53" s="714" t="s">
        <v>58</v>
      </c>
      <c r="B53" s="714"/>
      <c r="C53" s="290"/>
      <c r="D53" s="290"/>
      <c r="E53" s="290"/>
      <c r="F53" s="294">
        <v>2017</v>
      </c>
      <c r="G53" s="290"/>
      <c r="H53" s="290"/>
      <c r="I53" s="291"/>
      <c r="J53" s="291"/>
      <c r="K53" s="291"/>
      <c r="L53" s="291"/>
      <c r="M53" s="291"/>
      <c r="N53" s="291"/>
    </row>
    <row r="54" spans="1:14" x14ac:dyDescent="0.25">
      <c r="A54" s="292">
        <v>42770</v>
      </c>
      <c r="B54" s="293">
        <v>14.25</v>
      </c>
      <c r="C54" s="712" t="s">
        <v>35</v>
      </c>
      <c r="D54" s="712"/>
      <c r="E54" s="712"/>
      <c r="F54" s="294">
        <v>22</v>
      </c>
      <c r="G54" s="293" t="s">
        <v>425</v>
      </c>
      <c r="H54" s="317">
        <v>27</v>
      </c>
      <c r="I54" s="713" t="s">
        <v>39</v>
      </c>
      <c r="J54" s="713"/>
      <c r="K54" s="713"/>
      <c r="L54" s="712" t="s">
        <v>66</v>
      </c>
      <c r="M54" s="712"/>
      <c r="N54" s="712"/>
    </row>
    <row r="55" spans="1:14" x14ac:dyDescent="0.25">
      <c r="A55" s="292">
        <v>42770</v>
      </c>
      <c r="B55" s="295">
        <v>16.5</v>
      </c>
      <c r="C55" s="712" t="s">
        <v>30</v>
      </c>
      <c r="D55" s="712"/>
      <c r="E55" s="712"/>
      <c r="F55" s="294">
        <v>19</v>
      </c>
      <c r="G55" s="293" t="s">
        <v>425</v>
      </c>
      <c r="H55" s="317">
        <v>16</v>
      </c>
      <c r="I55" s="713" t="s">
        <v>34</v>
      </c>
      <c r="J55" s="713"/>
      <c r="K55" s="713"/>
      <c r="L55" s="712" t="s">
        <v>67</v>
      </c>
      <c r="M55" s="712"/>
      <c r="N55" s="712"/>
    </row>
    <row r="56" spans="1:14" x14ac:dyDescent="0.25">
      <c r="A56" s="292">
        <v>42771</v>
      </c>
      <c r="B56" s="295">
        <v>14</v>
      </c>
      <c r="C56" s="712" t="s">
        <v>33</v>
      </c>
      <c r="D56" s="712"/>
      <c r="E56" s="712"/>
      <c r="F56" s="294">
        <v>7</v>
      </c>
      <c r="G56" s="293" t="s">
        <v>425</v>
      </c>
      <c r="H56" s="317">
        <v>33</v>
      </c>
      <c r="I56" s="713" t="s">
        <v>32</v>
      </c>
      <c r="J56" s="713"/>
      <c r="K56" s="713"/>
      <c r="L56" s="712" t="s">
        <v>68</v>
      </c>
      <c r="M56" s="712"/>
      <c r="N56" s="712"/>
    </row>
    <row r="57" spans="1:14" x14ac:dyDescent="0.25">
      <c r="A57" s="292">
        <v>42777</v>
      </c>
      <c r="B57" s="295">
        <v>14.25</v>
      </c>
      <c r="C57" s="712" t="s">
        <v>33</v>
      </c>
      <c r="D57" s="712"/>
      <c r="E57" s="712"/>
      <c r="F57" s="294">
        <v>10</v>
      </c>
      <c r="G57" s="293" t="s">
        <v>425</v>
      </c>
      <c r="H57" s="317">
        <v>63</v>
      </c>
      <c r="I57" s="713" t="s">
        <v>39</v>
      </c>
      <c r="J57" s="713"/>
      <c r="K57" s="713"/>
      <c r="L57" s="712" t="s">
        <v>68</v>
      </c>
      <c r="M57" s="712"/>
      <c r="N57" s="712"/>
    </row>
    <row r="58" spans="1:14" x14ac:dyDescent="0.25">
      <c r="A58" s="292">
        <v>42777</v>
      </c>
      <c r="B58" s="295">
        <v>16.5</v>
      </c>
      <c r="C58" s="712" t="s">
        <v>32</v>
      </c>
      <c r="D58" s="712"/>
      <c r="E58" s="712"/>
      <c r="F58" s="294">
        <v>16</v>
      </c>
      <c r="G58" s="293" t="s">
        <v>425</v>
      </c>
      <c r="H58" s="317">
        <v>21</v>
      </c>
      <c r="I58" s="713" t="s">
        <v>30</v>
      </c>
      <c r="J58" s="713"/>
      <c r="K58" s="713"/>
      <c r="L58" s="712" t="s">
        <v>69</v>
      </c>
      <c r="M58" s="712"/>
      <c r="N58" s="712"/>
    </row>
    <row r="59" spans="1:14" x14ac:dyDescent="0.25">
      <c r="A59" s="292">
        <v>42778</v>
      </c>
      <c r="B59" s="295">
        <v>15</v>
      </c>
      <c r="C59" s="712" t="s">
        <v>34</v>
      </c>
      <c r="D59" s="712"/>
      <c r="E59" s="712"/>
      <c r="F59" s="294">
        <v>22</v>
      </c>
      <c r="G59" s="293" t="s">
        <v>425</v>
      </c>
      <c r="H59" s="317">
        <v>16</v>
      </c>
      <c r="I59" s="713" t="s">
        <v>35</v>
      </c>
      <c r="J59" s="713"/>
      <c r="K59" s="713"/>
      <c r="L59" s="712" t="s">
        <v>70</v>
      </c>
      <c r="M59" s="712"/>
      <c r="N59" s="712"/>
    </row>
    <row r="60" spans="1:14" x14ac:dyDescent="0.25">
      <c r="A60" s="292">
        <v>42791</v>
      </c>
      <c r="B60" s="295">
        <v>14.25</v>
      </c>
      <c r="C60" s="712" t="s">
        <v>35</v>
      </c>
      <c r="D60" s="712"/>
      <c r="E60" s="712"/>
      <c r="F60" s="294">
        <v>29</v>
      </c>
      <c r="G60" s="293" t="s">
        <v>425</v>
      </c>
      <c r="H60" s="317">
        <v>13</v>
      </c>
      <c r="I60" s="713" t="s">
        <v>32</v>
      </c>
      <c r="J60" s="713"/>
      <c r="K60" s="713"/>
      <c r="L60" s="712" t="s">
        <v>71</v>
      </c>
      <c r="M60" s="712"/>
      <c r="N60" s="712"/>
    </row>
    <row r="61" spans="1:14" x14ac:dyDescent="0.25">
      <c r="A61" s="292">
        <v>42791</v>
      </c>
      <c r="B61" s="295">
        <v>16.5</v>
      </c>
      <c r="C61" s="712" t="s">
        <v>39</v>
      </c>
      <c r="D61" s="712"/>
      <c r="E61" s="712"/>
      <c r="F61" s="294">
        <v>19</v>
      </c>
      <c r="G61" s="293" t="s">
        <v>425</v>
      </c>
      <c r="H61" s="317">
        <v>9</v>
      </c>
      <c r="I61" s="713" t="s">
        <v>34</v>
      </c>
      <c r="J61" s="713"/>
      <c r="K61" s="713"/>
      <c r="L61" s="712" t="s">
        <v>72</v>
      </c>
      <c r="M61" s="712"/>
      <c r="N61" s="712"/>
    </row>
    <row r="62" spans="1:14" x14ac:dyDescent="0.25">
      <c r="A62" s="292">
        <v>42792</v>
      </c>
      <c r="B62" s="295">
        <v>15</v>
      </c>
      <c r="C62" s="712" t="s">
        <v>30</v>
      </c>
      <c r="D62" s="712"/>
      <c r="E62" s="712"/>
      <c r="F62" s="294">
        <v>36</v>
      </c>
      <c r="G62" s="293" t="s">
        <v>425</v>
      </c>
      <c r="H62" s="317">
        <v>15</v>
      </c>
      <c r="I62" s="713" t="s">
        <v>33</v>
      </c>
      <c r="J62" s="713"/>
      <c r="K62" s="713"/>
      <c r="L62" s="712" t="s">
        <v>67</v>
      </c>
      <c r="M62" s="712"/>
      <c r="N62" s="712"/>
    </row>
    <row r="63" spans="1:14" x14ac:dyDescent="0.25">
      <c r="A63" s="292">
        <v>42804</v>
      </c>
      <c r="B63" s="295">
        <v>20</v>
      </c>
      <c r="C63" s="712" t="s">
        <v>32</v>
      </c>
      <c r="D63" s="712"/>
      <c r="E63" s="712"/>
      <c r="F63" s="294">
        <v>22</v>
      </c>
      <c r="G63" s="293" t="s">
        <v>425</v>
      </c>
      <c r="H63" s="317">
        <v>9</v>
      </c>
      <c r="I63" s="713" t="s">
        <v>39</v>
      </c>
      <c r="J63" s="713"/>
      <c r="K63" s="713"/>
      <c r="L63" s="712" t="s">
        <v>69</v>
      </c>
      <c r="M63" s="712"/>
      <c r="N63" s="712"/>
    </row>
    <row r="64" spans="1:14" x14ac:dyDescent="0.25">
      <c r="A64" s="292">
        <v>42805</v>
      </c>
      <c r="B64" s="295">
        <v>13.3</v>
      </c>
      <c r="C64" s="712" t="s">
        <v>33</v>
      </c>
      <c r="D64" s="712"/>
      <c r="E64" s="712"/>
      <c r="F64" s="294">
        <v>18</v>
      </c>
      <c r="G64" s="293" t="s">
        <v>425</v>
      </c>
      <c r="H64" s="317">
        <v>40</v>
      </c>
      <c r="I64" s="713" t="s">
        <v>34</v>
      </c>
      <c r="J64" s="713"/>
      <c r="K64" s="713"/>
      <c r="L64" s="712" t="s">
        <v>68</v>
      </c>
      <c r="M64" s="712"/>
      <c r="N64" s="712"/>
    </row>
    <row r="65" spans="1:14" x14ac:dyDescent="0.25">
      <c r="A65" s="292">
        <v>42805</v>
      </c>
      <c r="B65" s="295">
        <v>16</v>
      </c>
      <c r="C65" s="712" t="s">
        <v>30</v>
      </c>
      <c r="D65" s="712"/>
      <c r="E65" s="712"/>
      <c r="F65" s="294">
        <v>61</v>
      </c>
      <c r="G65" s="293" t="s">
        <v>425</v>
      </c>
      <c r="H65" s="317">
        <v>21</v>
      </c>
      <c r="I65" s="713" t="s">
        <v>35</v>
      </c>
      <c r="J65" s="713"/>
      <c r="K65" s="713"/>
      <c r="L65" s="712" t="s">
        <v>67</v>
      </c>
      <c r="M65" s="712"/>
      <c r="N65" s="712"/>
    </row>
    <row r="66" spans="1:14" x14ac:dyDescent="0.25">
      <c r="A66" s="292">
        <v>42812</v>
      </c>
      <c r="B66" s="295">
        <v>12.3</v>
      </c>
      <c r="C66" s="712" t="s">
        <v>35</v>
      </c>
      <c r="D66" s="712"/>
      <c r="E66" s="712"/>
      <c r="F66" s="294">
        <v>29</v>
      </c>
      <c r="G66" s="293" t="s">
        <v>425</v>
      </c>
      <c r="H66" s="317">
        <v>0</v>
      </c>
      <c r="I66" s="713" t="s">
        <v>33</v>
      </c>
      <c r="J66" s="713"/>
      <c r="K66" s="713"/>
      <c r="L66" s="712" t="s">
        <v>66</v>
      </c>
      <c r="M66" s="712"/>
      <c r="N66" s="712"/>
    </row>
    <row r="67" spans="1:14" x14ac:dyDescent="0.25">
      <c r="A67" s="292">
        <v>42812</v>
      </c>
      <c r="B67" s="295">
        <v>14.45</v>
      </c>
      <c r="C67" s="712" t="s">
        <v>34</v>
      </c>
      <c r="D67" s="712"/>
      <c r="E67" s="712"/>
      <c r="F67" s="294">
        <v>20</v>
      </c>
      <c r="G67" s="293" t="s">
        <v>425</v>
      </c>
      <c r="H67" s="317">
        <v>18</v>
      </c>
      <c r="I67" s="713" t="s">
        <v>32</v>
      </c>
      <c r="J67" s="713"/>
      <c r="K67" s="713"/>
      <c r="L67" s="712" t="s">
        <v>70</v>
      </c>
      <c r="M67" s="712"/>
      <c r="N67" s="712"/>
    </row>
    <row r="68" spans="1:14" x14ac:dyDescent="0.25">
      <c r="A68" s="292">
        <v>42812</v>
      </c>
      <c r="B68" s="295">
        <v>17</v>
      </c>
      <c r="C68" s="712" t="s">
        <v>39</v>
      </c>
      <c r="D68" s="712"/>
      <c r="E68" s="712"/>
      <c r="F68" s="294">
        <v>13</v>
      </c>
      <c r="G68" s="293" t="s">
        <v>425</v>
      </c>
      <c r="H68" s="317">
        <v>9</v>
      </c>
      <c r="I68" s="713" t="s">
        <v>30</v>
      </c>
      <c r="J68" s="713"/>
      <c r="K68" s="713"/>
      <c r="L68" s="712" t="s">
        <v>72</v>
      </c>
      <c r="M68" s="712"/>
      <c r="N68" s="712"/>
    </row>
    <row r="69" spans="1:14" x14ac:dyDescent="0.25">
      <c r="A69" s="289"/>
      <c r="B69" s="293" t="s">
        <v>58</v>
      </c>
      <c r="C69" s="290"/>
      <c r="D69" s="294"/>
      <c r="E69" s="290"/>
      <c r="F69" s="294"/>
      <c r="G69" s="428"/>
      <c r="H69" s="317"/>
      <c r="I69" s="290"/>
      <c r="J69" s="290"/>
      <c r="K69" s="290"/>
      <c r="L69" s="290"/>
      <c r="M69" s="290"/>
      <c r="N69" s="290"/>
    </row>
    <row r="70" spans="1:14" x14ac:dyDescent="0.25">
      <c r="F70" s="427"/>
      <c r="G70" s="429"/>
      <c r="H70" s="318"/>
    </row>
    <row r="71" spans="1:14" x14ac:dyDescent="0.25">
      <c r="A71" s="714"/>
      <c r="B71" s="714"/>
      <c r="C71" s="290"/>
      <c r="D71" s="290"/>
      <c r="E71" s="290"/>
      <c r="F71" s="294">
        <v>2016</v>
      </c>
      <c r="G71" s="428"/>
      <c r="H71" s="317"/>
      <c r="I71" s="291"/>
      <c r="J71" s="291"/>
      <c r="K71" s="291"/>
      <c r="L71" s="291"/>
      <c r="M71" s="291"/>
      <c r="N71" s="291"/>
    </row>
    <row r="72" spans="1:14" x14ac:dyDescent="0.25">
      <c r="A72" s="292">
        <v>42406</v>
      </c>
      <c r="B72" s="295">
        <v>14.25</v>
      </c>
      <c r="C72" s="712" t="s">
        <v>34</v>
      </c>
      <c r="D72" s="712"/>
      <c r="E72" s="712"/>
      <c r="F72" s="294">
        <v>23</v>
      </c>
      <c r="G72" s="293" t="s">
        <v>425</v>
      </c>
      <c r="H72" s="317">
        <v>21</v>
      </c>
      <c r="I72" s="713" t="s">
        <v>33</v>
      </c>
      <c r="J72" s="713"/>
      <c r="K72" s="713"/>
      <c r="L72" s="712" t="s">
        <v>70</v>
      </c>
      <c r="M72" s="712"/>
      <c r="N72" s="712"/>
    </row>
    <row r="73" spans="1:14" x14ac:dyDescent="0.25">
      <c r="A73" s="292">
        <v>42406</v>
      </c>
      <c r="B73" s="295">
        <v>16.5</v>
      </c>
      <c r="C73" s="712" t="s">
        <v>35</v>
      </c>
      <c r="D73" s="712"/>
      <c r="E73" s="712"/>
      <c r="F73" s="294">
        <v>9</v>
      </c>
      <c r="G73" s="293" t="s">
        <v>425</v>
      </c>
      <c r="H73" s="317">
        <v>15</v>
      </c>
      <c r="I73" s="713" t="s">
        <v>30</v>
      </c>
      <c r="J73" s="713"/>
      <c r="K73" s="713"/>
      <c r="L73" s="712" t="s">
        <v>66</v>
      </c>
      <c r="M73" s="712"/>
      <c r="N73" s="712"/>
    </row>
    <row r="74" spans="1:14" x14ac:dyDescent="0.25">
      <c r="A74" s="292">
        <v>42407</v>
      </c>
      <c r="B74" s="295">
        <v>15</v>
      </c>
      <c r="C74" s="712" t="s">
        <v>39</v>
      </c>
      <c r="D74" s="712"/>
      <c r="E74" s="712"/>
      <c r="F74" s="294">
        <v>16</v>
      </c>
      <c r="G74" s="293" t="s">
        <v>425</v>
      </c>
      <c r="H74" s="317">
        <v>16</v>
      </c>
      <c r="I74" s="713" t="s">
        <v>32</v>
      </c>
      <c r="J74" s="713"/>
      <c r="K74" s="713"/>
      <c r="L74" s="712" t="s">
        <v>72</v>
      </c>
      <c r="M74" s="712"/>
      <c r="N74" s="712"/>
    </row>
    <row r="75" spans="1:14" x14ac:dyDescent="0.25">
      <c r="A75" s="292">
        <v>42413</v>
      </c>
      <c r="B75" s="295">
        <v>14.25</v>
      </c>
      <c r="C75" s="712" t="s">
        <v>34</v>
      </c>
      <c r="D75" s="712"/>
      <c r="E75" s="712"/>
      <c r="F75" s="294" t="s">
        <v>73</v>
      </c>
      <c r="G75" s="293" t="s">
        <v>425</v>
      </c>
      <c r="H75" s="317" t="s">
        <v>74</v>
      </c>
      <c r="I75" s="713" t="s">
        <v>39</v>
      </c>
      <c r="J75" s="713"/>
      <c r="K75" s="713"/>
      <c r="L75" s="712" t="s">
        <v>70</v>
      </c>
      <c r="M75" s="712"/>
      <c r="N75" s="712"/>
    </row>
    <row r="76" spans="1:14" x14ac:dyDescent="0.25">
      <c r="A76" s="292">
        <v>42413</v>
      </c>
      <c r="B76" s="295">
        <v>16.5</v>
      </c>
      <c r="C76" s="712" t="s">
        <v>32</v>
      </c>
      <c r="D76" s="712"/>
      <c r="E76" s="712"/>
      <c r="F76" s="294" t="s">
        <v>75</v>
      </c>
      <c r="G76" s="293" t="s">
        <v>425</v>
      </c>
      <c r="H76" s="317" t="s">
        <v>76</v>
      </c>
      <c r="I76" s="713" t="s">
        <v>35</v>
      </c>
      <c r="J76" s="713"/>
      <c r="K76" s="713"/>
      <c r="L76" s="712" t="s">
        <v>69</v>
      </c>
      <c r="M76" s="712"/>
      <c r="N76" s="712"/>
    </row>
    <row r="77" spans="1:14" x14ac:dyDescent="0.25">
      <c r="A77" s="292">
        <v>42414</v>
      </c>
      <c r="B77" s="295">
        <v>14</v>
      </c>
      <c r="C77" s="712" t="s">
        <v>33</v>
      </c>
      <c r="D77" s="712"/>
      <c r="E77" s="712"/>
      <c r="F77" s="294" t="s">
        <v>74</v>
      </c>
      <c r="G77" s="293" t="s">
        <v>425</v>
      </c>
      <c r="H77" s="317" t="s">
        <v>77</v>
      </c>
      <c r="I77" s="713" t="s">
        <v>30</v>
      </c>
      <c r="J77" s="713"/>
      <c r="K77" s="713"/>
      <c r="L77" s="712" t="s">
        <v>68</v>
      </c>
      <c r="M77" s="712"/>
      <c r="N77" s="712"/>
    </row>
    <row r="78" spans="1:14" x14ac:dyDescent="0.25">
      <c r="A78" s="292">
        <v>42426</v>
      </c>
      <c r="B78" s="295">
        <v>20.05</v>
      </c>
      <c r="C78" s="712" t="s">
        <v>32</v>
      </c>
      <c r="D78" s="712"/>
      <c r="E78" s="712"/>
      <c r="F78" s="294" t="s">
        <v>78</v>
      </c>
      <c r="G78" s="293" t="s">
        <v>425</v>
      </c>
      <c r="H78" s="317" t="s">
        <v>79</v>
      </c>
      <c r="I78" s="713" t="s">
        <v>34</v>
      </c>
      <c r="J78" s="713"/>
      <c r="K78" s="713"/>
      <c r="L78" s="712" t="s">
        <v>69</v>
      </c>
      <c r="M78" s="712"/>
      <c r="N78" s="712"/>
    </row>
    <row r="79" spans="1:14" x14ac:dyDescent="0.25">
      <c r="A79" s="292">
        <v>42427</v>
      </c>
      <c r="B79" s="295">
        <v>14.25</v>
      </c>
      <c r="C79" s="712" t="s">
        <v>33</v>
      </c>
      <c r="D79" s="712"/>
      <c r="E79" s="712"/>
      <c r="F79" s="294" t="s">
        <v>80</v>
      </c>
      <c r="G79" s="293" t="s">
        <v>425</v>
      </c>
      <c r="H79" s="317" t="s">
        <v>81</v>
      </c>
      <c r="I79" s="713" t="s">
        <v>35</v>
      </c>
      <c r="J79" s="713"/>
      <c r="K79" s="713"/>
      <c r="L79" s="712" t="s">
        <v>68</v>
      </c>
      <c r="M79" s="712"/>
      <c r="N79" s="712"/>
    </row>
    <row r="80" spans="1:14" x14ac:dyDescent="0.25">
      <c r="A80" s="292">
        <v>42427</v>
      </c>
      <c r="B80" s="295">
        <v>16.5</v>
      </c>
      <c r="C80" s="712" t="s">
        <v>30</v>
      </c>
      <c r="D80" s="712"/>
      <c r="E80" s="712"/>
      <c r="F80" s="294" t="s">
        <v>82</v>
      </c>
      <c r="G80" s="293" t="s">
        <v>425</v>
      </c>
      <c r="H80" s="317" t="s">
        <v>79</v>
      </c>
      <c r="I80" s="713" t="s">
        <v>39</v>
      </c>
      <c r="J80" s="713"/>
      <c r="K80" s="713"/>
      <c r="L80" s="712" t="s">
        <v>67</v>
      </c>
      <c r="M80" s="712"/>
      <c r="N80" s="712"/>
    </row>
    <row r="81" spans="1:19" x14ac:dyDescent="0.25">
      <c r="A81" s="292">
        <v>42441</v>
      </c>
      <c r="B81" s="295">
        <v>13.3</v>
      </c>
      <c r="C81" s="712" t="s">
        <v>39</v>
      </c>
      <c r="D81" s="712"/>
      <c r="E81" s="712"/>
      <c r="F81" s="294" t="s">
        <v>83</v>
      </c>
      <c r="G81" s="293" t="s">
        <v>425</v>
      </c>
      <c r="H81" s="317" t="s">
        <v>84</v>
      </c>
      <c r="I81" s="713" t="s">
        <v>33</v>
      </c>
      <c r="J81" s="713"/>
      <c r="K81" s="713"/>
      <c r="L81" s="712" t="s">
        <v>72</v>
      </c>
      <c r="M81" s="712"/>
      <c r="N81" s="712"/>
    </row>
    <row r="82" spans="1:19" x14ac:dyDescent="0.25">
      <c r="A82" s="292">
        <v>42441</v>
      </c>
      <c r="B82" s="295">
        <v>16</v>
      </c>
      <c r="C82" s="712" t="s">
        <v>30</v>
      </c>
      <c r="D82" s="712"/>
      <c r="E82" s="712"/>
      <c r="F82" s="294" t="s">
        <v>85</v>
      </c>
      <c r="G82" s="293" t="s">
        <v>425</v>
      </c>
      <c r="H82" s="317" t="s">
        <v>82</v>
      </c>
      <c r="I82" s="713" t="s">
        <v>32</v>
      </c>
      <c r="J82" s="713"/>
      <c r="K82" s="713"/>
      <c r="L82" s="712" t="s">
        <v>67</v>
      </c>
      <c r="M82" s="712"/>
      <c r="N82" s="712"/>
    </row>
    <row r="83" spans="1:19" x14ac:dyDescent="0.25">
      <c r="A83" s="292">
        <v>42442</v>
      </c>
      <c r="B83" s="295">
        <v>15</v>
      </c>
      <c r="C83" s="712" t="s">
        <v>35</v>
      </c>
      <c r="D83" s="712"/>
      <c r="E83" s="712"/>
      <c r="F83" s="294" t="s">
        <v>86</v>
      </c>
      <c r="G83" s="293" t="s">
        <v>425</v>
      </c>
      <c r="H83" s="317" t="s">
        <v>87</v>
      </c>
      <c r="I83" s="713" t="s">
        <v>34</v>
      </c>
      <c r="J83" s="713"/>
      <c r="K83" s="713"/>
      <c r="L83" s="712" t="s">
        <v>66</v>
      </c>
      <c r="M83" s="712"/>
      <c r="N83" s="712"/>
    </row>
    <row r="84" spans="1:19" x14ac:dyDescent="0.25">
      <c r="A84" s="292">
        <v>42448</v>
      </c>
      <c r="B84" s="295">
        <v>14.3</v>
      </c>
      <c r="C84" s="712" t="s">
        <v>32</v>
      </c>
      <c r="D84" s="712"/>
      <c r="E84" s="712"/>
      <c r="F84" s="294" t="s">
        <v>88</v>
      </c>
      <c r="G84" s="293" t="s">
        <v>425</v>
      </c>
      <c r="H84" s="317" t="s">
        <v>89</v>
      </c>
      <c r="I84" s="713" t="s">
        <v>33</v>
      </c>
      <c r="J84" s="713"/>
      <c r="K84" s="713"/>
      <c r="L84" s="712" t="s">
        <v>69</v>
      </c>
      <c r="M84" s="712"/>
      <c r="N84" s="712"/>
    </row>
    <row r="85" spans="1:19" x14ac:dyDescent="0.25">
      <c r="A85" s="292">
        <v>42448</v>
      </c>
      <c r="B85" s="295">
        <v>17</v>
      </c>
      <c r="C85" s="712" t="s">
        <v>39</v>
      </c>
      <c r="D85" s="712"/>
      <c r="E85" s="712"/>
      <c r="F85" s="294" t="s">
        <v>90</v>
      </c>
      <c r="G85" s="293" t="s">
        <v>425</v>
      </c>
      <c r="H85" s="317" t="s">
        <v>85</v>
      </c>
      <c r="I85" s="713" t="s">
        <v>35</v>
      </c>
      <c r="J85" s="713"/>
      <c r="K85" s="713"/>
      <c r="L85" s="712" t="s">
        <v>72</v>
      </c>
      <c r="M85" s="712"/>
      <c r="N85" s="712"/>
    </row>
    <row r="86" spans="1:19" x14ac:dyDescent="0.25">
      <c r="A86" s="292">
        <v>42448</v>
      </c>
      <c r="B86" s="295">
        <v>20</v>
      </c>
      <c r="C86" s="712" t="s">
        <v>34</v>
      </c>
      <c r="D86" s="712"/>
      <c r="E86" s="712"/>
      <c r="F86" s="294" t="s">
        <v>82</v>
      </c>
      <c r="G86" s="293" t="s">
        <v>425</v>
      </c>
      <c r="H86" s="317">
        <v>31</v>
      </c>
      <c r="I86" s="713" t="s">
        <v>30</v>
      </c>
      <c r="J86" s="713"/>
      <c r="K86" s="713"/>
      <c r="L86" s="712" t="s">
        <v>70</v>
      </c>
      <c r="M86" s="712"/>
      <c r="N86" s="712"/>
    </row>
    <row r="87" spans="1:19" x14ac:dyDescent="0.25">
      <c r="A87" s="313"/>
      <c r="B87" s="314" t="s">
        <v>58</v>
      </c>
      <c r="C87" s="315"/>
      <c r="D87" s="316"/>
      <c r="E87" s="315"/>
      <c r="F87" s="316"/>
      <c r="G87" s="430"/>
      <c r="H87" s="315"/>
      <c r="I87" s="315"/>
      <c r="J87" s="315"/>
      <c r="K87" s="315"/>
      <c r="L87" s="315"/>
      <c r="M87" s="315"/>
      <c r="N87" s="315"/>
      <c r="O87" s="296"/>
      <c r="P87" s="716"/>
      <c r="Q87" s="716"/>
      <c r="R87" s="296"/>
      <c r="S87" s="296"/>
    </row>
    <row r="88" spans="1:19" x14ac:dyDescent="0.25">
      <c r="A88" s="714"/>
      <c r="B88" s="714"/>
      <c r="C88" s="290"/>
      <c r="D88" s="290"/>
      <c r="E88" s="290"/>
      <c r="F88" s="294">
        <v>2015</v>
      </c>
      <c r="G88" s="428"/>
      <c r="H88" s="290"/>
      <c r="I88" s="291"/>
      <c r="J88" s="291"/>
      <c r="K88" s="291"/>
      <c r="L88" s="291"/>
      <c r="M88" s="291"/>
      <c r="N88" s="291"/>
      <c r="O88" s="296"/>
      <c r="P88" s="296"/>
      <c r="Q88" s="296"/>
      <c r="R88" s="296"/>
      <c r="S88" s="296"/>
    </row>
    <row r="89" spans="1:19" x14ac:dyDescent="0.25">
      <c r="A89" s="292">
        <v>42041</v>
      </c>
      <c r="B89" s="295">
        <v>20.05</v>
      </c>
      <c r="C89" s="712"/>
      <c r="D89" s="712"/>
      <c r="E89" s="293" t="s">
        <v>32</v>
      </c>
      <c r="F89" s="294">
        <v>16</v>
      </c>
      <c r="G89" s="293" t="s">
        <v>425</v>
      </c>
      <c r="H89" s="317">
        <v>21</v>
      </c>
      <c r="I89" s="713" t="s">
        <v>30</v>
      </c>
      <c r="J89" s="713"/>
      <c r="K89" s="713"/>
      <c r="L89" s="713"/>
      <c r="M89" s="317" t="s">
        <v>91</v>
      </c>
      <c r="N89" s="317"/>
      <c r="O89" s="355"/>
      <c r="P89" s="715"/>
      <c r="Q89" s="715"/>
      <c r="R89" s="715"/>
    </row>
    <row r="90" spans="1:19" x14ac:dyDescent="0.25">
      <c r="A90" s="292">
        <v>42042</v>
      </c>
      <c r="B90" s="295">
        <v>14.3</v>
      </c>
      <c r="C90" s="712"/>
      <c r="D90" s="712"/>
      <c r="E90" s="293" t="s">
        <v>33</v>
      </c>
      <c r="F90" s="294">
        <v>3</v>
      </c>
      <c r="G90" s="293" t="s">
        <v>425</v>
      </c>
      <c r="H90" s="317">
        <v>26</v>
      </c>
      <c r="I90" s="713" t="s">
        <v>39</v>
      </c>
      <c r="J90" s="713"/>
      <c r="K90" s="713"/>
      <c r="L90" s="713"/>
      <c r="M90" s="317" t="s">
        <v>68</v>
      </c>
      <c r="N90" s="317"/>
      <c r="O90" s="355"/>
      <c r="P90" s="715"/>
      <c r="Q90" s="715"/>
      <c r="R90" s="715"/>
    </row>
    <row r="91" spans="1:19" x14ac:dyDescent="0.25">
      <c r="A91" s="292">
        <v>42042</v>
      </c>
      <c r="B91" s="295">
        <v>17</v>
      </c>
      <c r="C91" s="712"/>
      <c r="D91" s="712"/>
      <c r="E91" s="293" t="s">
        <v>34</v>
      </c>
      <c r="F91" s="294">
        <v>15</v>
      </c>
      <c r="G91" s="293" t="s">
        <v>425</v>
      </c>
      <c r="H91" s="317">
        <v>8</v>
      </c>
      <c r="I91" s="713" t="s">
        <v>35</v>
      </c>
      <c r="J91" s="713"/>
      <c r="K91" s="713"/>
      <c r="L91" s="713"/>
      <c r="M91" s="317" t="s">
        <v>70</v>
      </c>
      <c r="N91" s="317"/>
      <c r="O91" s="355"/>
      <c r="P91" s="715"/>
      <c r="Q91" s="715"/>
      <c r="R91" s="715"/>
    </row>
    <row r="92" spans="1:19" x14ac:dyDescent="0.25">
      <c r="A92" s="292">
        <v>42049</v>
      </c>
      <c r="B92" s="295">
        <v>14.3</v>
      </c>
      <c r="C92" s="712"/>
      <c r="D92" s="712"/>
      <c r="E92" s="293" t="s">
        <v>30</v>
      </c>
      <c r="F92" s="294">
        <v>47</v>
      </c>
      <c r="G92" s="293" t="s">
        <v>425</v>
      </c>
      <c r="H92" s="317">
        <v>17</v>
      </c>
      <c r="I92" s="713" t="s">
        <v>33</v>
      </c>
      <c r="J92" s="713"/>
      <c r="K92" s="713"/>
      <c r="L92" s="713"/>
      <c r="M92" s="317" t="s">
        <v>67</v>
      </c>
      <c r="N92" s="317"/>
      <c r="O92" s="355"/>
      <c r="P92" s="715"/>
      <c r="Q92" s="715"/>
      <c r="R92" s="715"/>
    </row>
    <row r="93" spans="1:19" x14ac:dyDescent="0.25">
      <c r="A93" s="292">
        <v>42049</v>
      </c>
      <c r="B93" s="295">
        <v>17</v>
      </c>
      <c r="C93" s="712"/>
      <c r="D93" s="712"/>
      <c r="E93" s="293" t="s">
        <v>39</v>
      </c>
      <c r="F93" s="294">
        <v>18</v>
      </c>
      <c r="G93" s="293" t="s">
        <v>425</v>
      </c>
      <c r="H93" s="317">
        <v>11</v>
      </c>
      <c r="I93" s="713" t="s">
        <v>34</v>
      </c>
      <c r="J93" s="713"/>
      <c r="K93" s="713"/>
      <c r="L93" s="713"/>
      <c r="M93" s="317" t="s">
        <v>72</v>
      </c>
      <c r="N93" s="317"/>
      <c r="O93" s="355"/>
      <c r="P93" s="715"/>
      <c r="Q93" s="715"/>
      <c r="R93" s="715"/>
    </row>
    <row r="94" spans="1:19" x14ac:dyDescent="0.25">
      <c r="A94" s="292">
        <v>42050</v>
      </c>
      <c r="B94" s="295">
        <v>15</v>
      </c>
      <c r="C94" s="712"/>
      <c r="D94" s="712"/>
      <c r="E94" s="293" t="s">
        <v>35</v>
      </c>
      <c r="F94" s="294">
        <v>23</v>
      </c>
      <c r="G94" s="293" t="s">
        <v>425</v>
      </c>
      <c r="H94" s="317">
        <v>26</v>
      </c>
      <c r="I94" s="713" t="s">
        <v>32</v>
      </c>
      <c r="J94" s="713"/>
      <c r="K94" s="713"/>
      <c r="L94" s="713"/>
      <c r="M94" s="317" t="s">
        <v>66</v>
      </c>
      <c r="N94" s="317"/>
      <c r="O94" s="355"/>
      <c r="P94" s="715"/>
      <c r="Q94" s="715"/>
      <c r="R94" s="715"/>
    </row>
    <row r="95" spans="1:19" x14ac:dyDescent="0.25">
      <c r="A95" s="292">
        <v>42063</v>
      </c>
      <c r="B95" s="295">
        <v>14.3</v>
      </c>
      <c r="C95" s="712"/>
      <c r="D95" s="712"/>
      <c r="E95" s="293" t="s">
        <v>35</v>
      </c>
      <c r="F95" s="294">
        <v>19</v>
      </c>
      <c r="G95" s="293" t="s">
        <v>425</v>
      </c>
      <c r="H95" s="317">
        <v>22</v>
      </c>
      <c r="I95" s="713" t="s">
        <v>33</v>
      </c>
      <c r="J95" s="713"/>
      <c r="K95" s="713"/>
      <c r="L95" s="713"/>
      <c r="M95" s="317" t="s">
        <v>66</v>
      </c>
      <c r="N95" s="317"/>
      <c r="O95" s="355"/>
      <c r="P95" s="715"/>
      <c r="Q95" s="715"/>
      <c r="R95" s="715"/>
    </row>
    <row r="96" spans="1:19" x14ac:dyDescent="0.25">
      <c r="A96" s="292">
        <v>42063</v>
      </c>
      <c r="B96" s="295">
        <v>17</v>
      </c>
      <c r="C96" s="712"/>
      <c r="D96" s="712"/>
      <c r="E96" s="293" t="s">
        <v>34</v>
      </c>
      <c r="F96" s="294">
        <v>13</v>
      </c>
      <c r="G96" s="293" t="s">
        <v>425</v>
      </c>
      <c r="H96" s="317">
        <v>20</v>
      </c>
      <c r="I96" s="713" t="s">
        <v>32</v>
      </c>
      <c r="J96" s="713"/>
      <c r="K96" s="713"/>
      <c r="L96" s="713"/>
      <c r="M96" s="317" t="s">
        <v>70</v>
      </c>
      <c r="N96" s="317"/>
      <c r="O96" s="355"/>
      <c r="P96" s="715"/>
      <c r="Q96" s="715"/>
      <c r="R96" s="715"/>
    </row>
    <row r="97" spans="1:18" x14ac:dyDescent="0.25">
      <c r="A97" s="292">
        <v>42064</v>
      </c>
      <c r="B97" s="295">
        <v>15</v>
      </c>
      <c r="C97" s="712"/>
      <c r="D97" s="712"/>
      <c r="E97" s="293" t="s">
        <v>39</v>
      </c>
      <c r="F97" s="294">
        <v>19</v>
      </c>
      <c r="G97" s="293" t="s">
        <v>425</v>
      </c>
      <c r="H97" s="317">
        <v>9</v>
      </c>
      <c r="I97" s="713" t="s">
        <v>30</v>
      </c>
      <c r="J97" s="713"/>
      <c r="K97" s="713"/>
      <c r="L97" s="713"/>
      <c r="M97" s="317" t="s">
        <v>72</v>
      </c>
      <c r="N97" s="317"/>
      <c r="O97" s="355"/>
      <c r="P97" s="715"/>
      <c r="Q97" s="715"/>
      <c r="R97" s="715"/>
    </row>
    <row r="98" spans="1:18" x14ac:dyDescent="0.25">
      <c r="A98" s="292">
        <v>42077</v>
      </c>
      <c r="B98" s="295">
        <v>14.3</v>
      </c>
      <c r="C98" s="712"/>
      <c r="D98" s="712"/>
      <c r="E98" s="293" t="s">
        <v>32</v>
      </c>
      <c r="F98" s="294">
        <v>23</v>
      </c>
      <c r="G98" s="293" t="s">
        <v>425</v>
      </c>
      <c r="H98" s="317">
        <v>16</v>
      </c>
      <c r="I98" s="713" t="s">
        <v>39</v>
      </c>
      <c r="J98" s="713"/>
      <c r="K98" s="713"/>
      <c r="L98" s="713"/>
      <c r="M98" s="317" t="s">
        <v>91</v>
      </c>
      <c r="N98" s="317"/>
      <c r="O98" s="355"/>
      <c r="P98" s="715"/>
      <c r="Q98" s="715"/>
      <c r="R98" s="715"/>
    </row>
    <row r="99" spans="1:18" x14ac:dyDescent="0.25">
      <c r="A99" s="292">
        <v>42077</v>
      </c>
      <c r="B99" s="295">
        <v>17</v>
      </c>
      <c r="C99" s="712"/>
      <c r="D99" s="712"/>
      <c r="E99" s="293" t="s">
        <v>30</v>
      </c>
      <c r="F99" s="294">
        <v>25</v>
      </c>
      <c r="G99" s="293" t="s">
        <v>425</v>
      </c>
      <c r="H99" s="317">
        <v>13</v>
      </c>
      <c r="I99" s="713" t="s">
        <v>35</v>
      </c>
      <c r="J99" s="713"/>
      <c r="K99" s="713"/>
      <c r="L99" s="713"/>
      <c r="M99" s="317" t="s">
        <v>67</v>
      </c>
      <c r="N99" s="317"/>
      <c r="O99" s="355"/>
      <c r="P99" s="715"/>
      <c r="Q99" s="715"/>
      <c r="R99" s="715"/>
    </row>
    <row r="100" spans="1:18" x14ac:dyDescent="0.25">
      <c r="A100" s="292">
        <v>42078</v>
      </c>
      <c r="B100" s="295">
        <v>15</v>
      </c>
      <c r="C100" s="712"/>
      <c r="D100" s="712"/>
      <c r="E100" s="293" t="s">
        <v>33</v>
      </c>
      <c r="F100" s="294">
        <v>0</v>
      </c>
      <c r="G100" s="293" t="s">
        <v>425</v>
      </c>
      <c r="H100" s="317">
        <v>29</v>
      </c>
      <c r="I100" s="713" t="s">
        <v>34</v>
      </c>
      <c r="J100" s="713"/>
      <c r="K100" s="713"/>
      <c r="L100" s="713"/>
      <c r="M100" s="317" t="s">
        <v>68</v>
      </c>
      <c r="N100" s="317"/>
      <c r="O100" s="355"/>
      <c r="P100" s="715"/>
      <c r="Q100" s="715"/>
      <c r="R100" s="715"/>
    </row>
    <row r="101" spans="1:18" x14ac:dyDescent="0.25">
      <c r="A101" s="292">
        <v>42084</v>
      </c>
      <c r="B101" s="295">
        <v>12.3</v>
      </c>
      <c r="C101" s="712"/>
      <c r="D101" s="712"/>
      <c r="E101" s="293" t="s">
        <v>33</v>
      </c>
      <c r="F101" s="294">
        <v>20</v>
      </c>
      <c r="G101" s="293" t="s">
        <v>425</v>
      </c>
      <c r="H101" s="317">
        <v>61</v>
      </c>
      <c r="I101" s="713" t="s">
        <v>32</v>
      </c>
      <c r="J101" s="713"/>
      <c r="K101" s="713"/>
      <c r="L101" s="713"/>
      <c r="M101" s="317" t="s">
        <v>68</v>
      </c>
      <c r="N101" s="317"/>
      <c r="O101" s="355"/>
      <c r="P101" s="715"/>
      <c r="Q101" s="715"/>
      <c r="R101" s="715"/>
    </row>
    <row r="102" spans="1:18" x14ac:dyDescent="0.25">
      <c r="A102" s="292">
        <v>42084</v>
      </c>
      <c r="B102" s="295">
        <v>14.3</v>
      </c>
      <c r="C102" s="712"/>
      <c r="D102" s="712"/>
      <c r="E102" s="293" t="s">
        <v>35</v>
      </c>
      <c r="F102" s="294">
        <v>10</v>
      </c>
      <c r="G102" s="293" t="s">
        <v>425</v>
      </c>
      <c r="H102" s="317">
        <v>40</v>
      </c>
      <c r="I102" s="713" t="s">
        <v>39</v>
      </c>
      <c r="J102" s="713"/>
      <c r="K102" s="713"/>
      <c r="L102" s="713"/>
      <c r="M102" s="317" t="s">
        <v>66</v>
      </c>
      <c r="N102" s="317"/>
      <c r="O102" s="355"/>
      <c r="P102" s="715"/>
      <c r="Q102" s="715"/>
      <c r="R102" s="715"/>
    </row>
    <row r="103" spans="1:18" x14ac:dyDescent="0.25">
      <c r="A103" s="292">
        <v>42084</v>
      </c>
      <c r="B103" s="295">
        <v>17</v>
      </c>
      <c r="C103" s="712"/>
      <c r="D103" s="712"/>
      <c r="E103" s="293" t="s">
        <v>30</v>
      </c>
      <c r="F103" s="294">
        <v>55</v>
      </c>
      <c r="G103" s="293" t="s">
        <v>425</v>
      </c>
      <c r="H103" s="317">
        <v>35</v>
      </c>
      <c r="I103" s="713" t="s">
        <v>34</v>
      </c>
      <c r="J103" s="713"/>
      <c r="K103" s="713"/>
      <c r="L103" s="713"/>
      <c r="M103" s="317" t="s">
        <v>67</v>
      </c>
      <c r="N103" s="317"/>
      <c r="O103" s="355"/>
      <c r="P103" s="715"/>
      <c r="Q103" s="715"/>
      <c r="R103" s="715"/>
    </row>
    <row r="104" spans="1:18" x14ac:dyDescent="0.25">
      <c r="A104" s="634" t="s">
        <v>28</v>
      </c>
    </row>
  </sheetData>
  <mergeCells count="272">
    <mergeCell ref="C15:E15"/>
    <mergeCell ref="I15:K15"/>
    <mergeCell ref="L15:N15"/>
    <mergeCell ref="C16:E16"/>
    <mergeCell ref="I16:K16"/>
    <mergeCell ref="L16:N16"/>
    <mergeCell ref="C11:E11"/>
    <mergeCell ref="I11:K11"/>
    <mergeCell ref="L11:N11"/>
    <mergeCell ref="C12:E12"/>
    <mergeCell ref="I12:K12"/>
    <mergeCell ref="L12:N12"/>
    <mergeCell ref="C14:E14"/>
    <mergeCell ref="I14:K14"/>
    <mergeCell ref="L14:N14"/>
    <mergeCell ref="C8:E8"/>
    <mergeCell ref="I8:K8"/>
    <mergeCell ref="L8:N8"/>
    <mergeCell ref="C9:E9"/>
    <mergeCell ref="I9:K9"/>
    <mergeCell ref="L9:N9"/>
    <mergeCell ref="C10:E10"/>
    <mergeCell ref="I10:K10"/>
    <mergeCell ref="L10:N10"/>
    <mergeCell ref="C5:E5"/>
    <mergeCell ref="I5:K5"/>
    <mergeCell ref="L5:N5"/>
    <mergeCell ref="C6:E6"/>
    <mergeCell ref="I6:K6"/>
    <mergeCell ref="L6:N6"/>
    <mergeCell ref="C7:E7"/>
    <mergeCell ref="I7:K7"/>
    <mergeCell ref="L7:N7"/>
    <mergeCell ref="C2:E2"/>
    <mergeCell ref="I2:K2"/>
    <mergeCell ref="L2:N2"/>
    <mergeCell ref="C3:E3"/>
    <mergeCell ref="I3:K3"/>
    <mergeCell ref="L3:N3"/>
    <mergeCell ref="C4:E4"/>
    <mergeCell ref="I4:K4"/>
    <mergeCell ref="L4:N4"/>
    <mergeCell ref="C48:E48"/>
    <mergeCell ref="I48:K48"/>
    <mergeCell ref="L48:N48"/>
    <mergeCell ref="C49:E49"/>
    <mergeCell ref="I49:K49"/>
    <mergeCell ref="L49:N49"/>
    <mergeCell ref="C50:E50"/>
    <mergeCell ref="I50:K50"/>
    <mergeCell ref="L50:N50"/>
    <mergeCell ref="C45:E45"/>
    <mergeCell ref="I45:K45"/>
    <mergeCell ref="L45:N45"/>
    <mergeCell ref="C46:E46"/>
    <mergeCell ref="I46:K46"/>
    <mergeCell ref="L46:N46"/>
    <mergeCell ref="C47:E47"/>
    <mergeCell ref="I47:K47"/>
    <mergeCell ref="L47:N47"/>
    <mergeCell ref="C42:E42"/>
    <mergeCell ref="I42:K42"/>
    <mergeCell ref="L42:N42"/>
    <mergeCell ref="C43:E43"/>
    <mergeCell ref="I43:K43"/>
    <mergeCell ref="L43:N43"/>
    <mergeCell ref="C44:E44"/>
    <mergeCell ref="I44:K44"/>
    <mergeCell ref="L44:N44"/>
    <mergeCell ref="C39:E39"/>
    <mergeCell ref="I39:K39"/>
    <mergeCell ref="L39:N39"/>
    <mergeCell ref="C40:E40"/>
    <mergeCell ref="I40:K40"/>
    <mergeCell ref="L40:N40"/>
    <mergeCell ref="C41:E41"/>
    <mergeCell ref="I41:K41"/>
    <mergeCell ref="L41:N41"/>
    <mergeCell ref="A35:B35"/>
    <mergeCell ref="C36:E36"/>
    <mergeCell ref="I36:K36"/>
    <mergeCell ref="L36:N36"/>
    <mergeCell ref="C37:E37"/>
    <mergeCell ref="I37:K37"/>
    <mergeCell ref="L37:N37"/>
    <mergeCell ref="C38:E38"/>
    <mergeCell ref="I38:K38"/>
    <mergeCell ref="L38:N38"/>
    <mergeCell ref="C68:E68"/>
    <mergeCell ref="I68:K68"/>
    <mergeCell ref="L68:N68"/>
    <mergeCell ref="C66:E66"/>
    <mergeCell ref="I66:K66"/>
    <mergeCell ref="L66:N66"/>
    <mergeCell ref="C67:E67"/>
    <mergeCell ref="I67:K67"/>
    <mergeCell ref="L67:N67"/>
    <mergeCell ref="C63:E63"/>
    <mergeCell ref="I63:K63"/>
    <mergeCell ref="L63:N63"/>
    <mergeCell ref="C64:E64"/>
    <mergeCell ref="I64:K64"/>
    <mergeCell ref="L64:N64"/>
    <mergeCell ref="C65:E65"/>
    <mergeCell ref="I65:K65"/>
    <mergeCell ref="L65:N65"/>
    <mergeCell ref="L59:N59"/>
    <mergeCell ref="C60:E60"/>
    <mergeCell ref="I60:K60"/>
    <mergeCell ref="L60:N60"/>
    <mergeCell ref="C61:E61"/>
    <mergeCell ref="I61:K61"/>
    <mergeCell ref="L61:N61"/>
    <mergeCell ref="C62:E62"/>
    <mergeCell ref="I62:K62"/>
    <mergeCell ref="L62:N62"/>
    <mergeCell ref="P87:Q87"/>
    <mergeCell ref="C89:D89"/>
    <mergeCell ref="I89:L89"/>
    <mergeCell ref="P89:R89"/>
    <mergeCell ref="A53:B53"/>
    <mergeCell ref="C54:E54"/>
    <mergeCell ref="I54:K54"/>
    <mergeCell ref="L54:N54"/>
    <mergeCell ref="C55:E55"/>
    <mergeCell ref="I55:K55"/>
    <mergeCell ref="L55:N55"/>
    <mergeCell ref="C56:E56"/>
    <mergeCell ref="I56:K56"/>
    <mergeCell ref="L56:N56"/>
    <mergeCell ref="C57:E57"/>
    <mergeCell ref="I57:K57"/>
    <mergeCell ref="L57:N57"/>
    <mergeCell ref="C58:E58"/>
    <mergeCell ref="I58:K58"/>
    <mergeCell ref="L58:N58"/>
    <mergeCell ref="C59:E59"/>
    <mergeCell ref="I59:K59"/>
    <mergeCell ref="A71:B71"/>
    <mergeCell ref="C78:E78"/>
    <mergeCell ref="P90:R90"/>
    <mergeCell ref="C91:D91"/>
    <mergeCell ref="I91:L91"/>
    <mergeCell ref="P91:R91"/>
    <mergeCell ref="C90:D90"/>
    <mergeCell ref="I90:L90"/>
    <mergeCell ref="P92:R92"/>
    <mergeCell ref="C93:D93"/>
    <mergeCell ref="I93:L93"/>
    <mergeCell ref="P93:R93"/>
    <mergeCell ref="C92:D92"/>
    <mergeCell ref="I92:L92"/>
    <mergeCell ref="P94:R94"/>
    <mergeCell ref="C95:D95"/>
    <mergeCell ref="I95:L95"/>
    <mergeCell ref="P95:R95"/>
    <mergeCell ref="C94:D94"/>
    <mergeCell ref="I94:L94"/>
    <mergeCell ref="P96:R96"/>
    <mergeCell ref="C97:D97"/>
    <mergeCell ref="I97:L97"/>
    <mergeCell ref="P97:R97"/>
    <mergeCell ref="C96:D96"/>
    <mergeCell ref="I96:L96"/>
    <mergeCell ref="P98:R98"/>
    <mergeCell ref="C99:D99"/>
    <mergeCell ref="I99:L99"/>
    <mergeCell ref="P99:R99"/>
    <mergeCell ref="C98:D98"/>
    <mergeCell ref="I98:L98"/>
    <mergeCell ref="P100:R100"/>
    <mergeCell ref="C101:D101"/>
    <mergeCell ref="I101:L101"/>
    <mergeCell ref="P101:R101"/>
    <mergeCell ref="C100:D100"/>
    <mergeCell ref="I100:L100"/>
    <mergeCell ref="P102:R102"/>
    <mergeCell ref="C103:D103"/>
    <mergeCell ref="I103:L103"/>
    <mergeCell ref="P103:R103"/>
    <mergeCell ref="C102:D102"/>
    <mergeCell ref="I102:L102"/>
    <mergeCell ref="C72:E72"/>
    <mergeCell ref="I72:K72"/>
    <mergeCell ref="L72:N72"/>
    <mergeCell ref="C73:E73"/>
    <mergeCell ref="I73:K73"/>
    <mergeCell ref="L73:N73"/>
    <mergeCell ref="C74:E74"/>
    <mergeCell ref="I74:K74"/>
    <mergeCell ref="L74:N74"/>
    <mergeCell ref="C75:E75"/>
    <mergeCell ref="I75:K75"/>
    <mergeCell ref="L75:N75"/>
    <mergeCell ref="C76:E76"/>
    <mergeCell ref="I76:K76"/>
    <mergeCell ref="L76:N76"/>
    <mergeCell ref="C77:E77"/>
    <mergeCell ref="I77:K77"/>
    <mergeCell ref="L77:N77"/>
    <mergeCell ref="I78:K78"/>
    <mergeCell ref="L78:N78"/>
    <mergeCell ref="C79:E79"/>
    <mergeCell ref="I79:K79"/>
    <mergeCell ref="L79:N79"/>
    <mergeCell ref="C80:E80"/>
    <mergeCell ref="I80:K80"/>
    <mergeCell ref="L80:N80"/>
    <mergeCell ref="C81:E81"/>
    <mergeCell ref="I81:K81"/>
    <mergeCell ref="L81:N81"/>
    <mergeCell ref="C82:E82"/>
    <mergeCell ref="I82:K82"/>
    <mergeCell ref="L82:N82"/>
    <mergeCell ref="C83:E83"/>
    <mergeCell ref="I83:K83"/>
    <mergeCell ref="L83:N83"/>
    <mergeCell ref="A88:B88"/>
    <mergeCell ref="C84:E84"/>
    <mergeCell ref="I84:K84"/>
    <mergeCell ref="L84:N84"/>
    <mergeCell ref="C85:E85"/>
    <mergeCell ref="I85:K85"/>
    <mergeCell ref="L85:N85"/>
    <mergeCell ref="C86:E86"/>
    <mergeCell ref="I86:K86"/>
    <mergeCell ref="L86:N86"/>
    <mergeCell ref="C19:E19"/>
    <mergeCell ref="I19:K19"/>
    <mergeCell ref="L19:N19"/>
    <mergeCell ref="C20:E20"/>
    <mergeCell ref="I20:K20"/>
    <mergeCell ref="L20:N20"/>
    <mergeCell ref="C21:E21"/>
    <mergeCell ref="I21:K21"/>
    <mergeCell ref="L21:N21"/>
    <mergeCell ref="C22:E22"/>
    <mergeCell ref="I22:K22"/>
    <mergeCell ref="L22:N22"/>
    <mergeCell ref="C23:E23"/>
    <mergeCell ref="I23:K23"/>
    <mergeCell ref="L23:N23"/>
    <mergeCell ref="C24:E24"/>
    <mergeCell ref="I24:K24"/>
    <mergeCell ref="L24:N24"/>
    <mergeCell ref="C25:E25"/>
    <mergeCell ref="I25:K25"/>
    <mergeCell ref="L25:N25"/>
    <mergeCell ref="C26:E26"/>
    <mergeCell ref="I26:K26"/>
    <mergeCell ref="L26:N26"/>
    <mergeCell ref="C27:E27"/>
    <mergeCell ref="I27:K27"/>
    <mergeCell ref="L27:N27"/>
    <mergeCell ref="C28:E28"/>
    <mergeCell ref="I28:K28"/>
    <mergeCell ref="L28:N28"/>
    <mergeCell ref="C29:E29"/>
    <mergeCell ref="I29:K29"/>
    <mergeCell ref="L29:N29"/>
    <mergeCell ref="C30:E30"/>
    <mergeCell ref="I30:K30"/>
    <mergeCell ref="L30:N30"/>
    <mergeCell ref="C31:E31"/>
    <mergeCell ref="I31:K31"/>
    <mergeCell ref="L31:N31"/>
    <mergeCell ref="C32:E32"/>
    <mergeCell ref="I32:K32"/>
    <mergeCell ref="L32:N32"/>
    <mergeCell ref="C33:E33"/>
    <mergeCell ref="I33:K33"/>
    <mergeCell ref="L33:N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9"/>
  <sheetViews>
    <sheetView workbookViewId="0">
      <selection activeCell="A2" sqref="A2:F9"/>
    </sheetView>
  </sheetViews>
  <sheetFormatPr defaultRowHeight="14.3" x14ac:dyDescent="0.25"/>
  <cols>
    <col min="1" max="1" width="8.875" bestFit="1" customWidth="1"/>
    <col min="3" max="3" width="28.875" bestFit="1" customWidth="1"/>
    <col min="4" max="4" width="7.625" customWidth="1"/>
  </cols>
  <sheetData>
    <row r="1" spans="1:18" ht="14.95" thickBot="1" x14ac:dyDescent="0.3"/>
    <row r="2" spans="1:18" ht="14.95" customHeight="1" thickBot="1" x14ac:dyDescent="0.3">
      <c r="A2" s="198"/>
      <c r="B2" s="726" t="s">
        <v>54</v>
      </c>
      <c r="C2" s="727"/>
      <c r="D2" s="722" t="s">
        <v>55</v>
      </c>
      <c r="E2" s="723"/>
      <c r="F2" s="237" t="s">
        <v>56</v>
      </c>
      <c r="H2" s="719" t="s">
        <v>58</v>
      </c>
      <c r="I2" s="717" t="s">
        <v>92</v>
      </c>
      <c r="J2" s="718"/>
      <c r="K2" s="717" t="s">
        <v>93</v>
      </c>
      <c r="L2" s="721"/>
      <c r="M2" s="721"/>
      <c r="N2" s="721"/>
      <c r="O2" s="718"/>
      <c r="P2" s="319" t="s">
        <v>94</v>
      </c>
      <c r="Q2" s="717" t="s">
        <v>95</v>
      </c>
      <c r="R2" s="718"/>
    </row>
    <row r="3" spans="1:18" ht="14.95" customHeight="1" thickBot="1" x14ac:dyDescent="0.3">
      <c r="A3" s="121" t="s">
        <v>35</v>
      </c>
      <c r="B3" s="589">
        <f>Scotlandyellow</f>
        <v>0</v>
      </c>
      <c r="C3" s="450"/>
      <c r="D3" s="238">
        <f>Scotlandred</f>
        <v>0</v>
      </c>
      <c r="E3" s="239"/>
      <c r="F3" s="240">
        <f t="shared" ref="F3:F8" si="0">SUM(B3+D3*2)</f>
        <v>0</v>
      </c>
      <c r="H3" s="720"/>
      <c r="I3" s="320" t="s">
        <v>4</v>
      </c>
      <c r="J3" s="320" t="s">
        <v>5</v>
      </c>
      <c r="K3" s="321" t="s">
        <v>96</v>
      </c>
      <c r="L3" s="322" t="s">
        <v>97</v>
      </c>
      <c r="M3" s="322" t="s">
        <v>98</v>
      </c>
      <c r="N3" s="323" t="s">
        <v>99</v>
      </c>
      <c r="O3" s="324" t="s">
        <v>100</v>
      </c>
      <c r="P3" s="325" t="s">
        <v>101</v>
      </c>
      <c r="Q3" s="321" t="s">
        <v>4</v>
      </c>
      <c r="R3" s="324" t="s">
        <v>5</v>
      </c>
    </row>
    <row r="4" spans="1:18" ht="14.95" customHeight="1" thickBot="1" x14ac:dyDescent="0.3">
      <c r="A4" s="9" t="s">
        <v>32</v>
      </c>
      <c r="B4" s="242">
        <f>Walesyellow</f>
        <v>0</v>
      </c>
      <c r="C4" s="243"/>
      <c r="D4" s="238">
        <f>Walesred</f>
        <v>0</v>
      </c>
      <c r="E4" s="239"/>
      <c r="F4" s="240">
        <f t="shared" si="0"/>
        <v>0</v>
      </c>
      <c r="H4" s="342" t="s">
        <v>30</v>
      </c>
      <c r="I4" s="326">
        <v>0</v>
      </c>
      <c r="J4" s="326">
        <v>14</v>
      </c>
      <c r="K4" s="326">
        <v>12</v>
      </c>
      <c r="L4" s="326">
        <v>6</v>
      </c>
      <c r="M4" s="326">
        <v>0</v>
      </c>
      <c r="N4" s="326">
        <v>0</v>
      </c>
      <c r="O4" s="327">
        <f t="shared" ref="O4:O9" si="1">SUM(K4:N4)</f>
        <v>18</v>
      </c>
      <c r="P4" s="326">
        <v>0</v>
      </c>
      <c r="Q4" s="336">
        <f t="shared" ref="Q4" si="2">SUM(I4/O4)*10</f>
        <v>0</v>
      </c>
      <c r="R4" s="337">
        <f t="shared" ref="R4" si="3">SUM(J4/O4)*10</f>
        <v>7.7777777777777777</v>
      </c>
    </row>
    <row r="5" spans="1:18" ht="14.95" customHeight="1" thickBot="1" x14ac:dyDescent="0.3">
      <c r="A5" s="353" t="s">
        <v>33</v>
      </c>
      <c r="B5" s="241">
        <f>Italyyellow</f>
        <v>2</v>
      </c>
      <c r="C5" s="633" t="s">
        <v>424</v>
      </c>
      <c r="D5" s="238">
        <f>Italyred</f>
        <v>0</v>
      </c>
      <c r="E5" s="239"/>
      <c r="F5" s="240">
        <f t="shared" si="0"/>
        <v>2</v>
      </c>
      <c r="H5" s="303" t="s">
        <v>34</v>
      </c>
      <c r="I5" s="326">
        <v>10</v>
      </c>
      <c r="J5" s="326">
        <v>43</v>
      </c>
      <c r="K5" s="326">
        <v>84</v>
      </c>
      <c r="L5" s="326">
        <v>0</v>
      </c>
      <c r="M5" s="326">
        <v>0</v>
      </c>
      <c r="N5" s="326">
        <v>0</v>
      </c>
      <c r="O5" s="327">
        <f t="shared" si="1"/>
        <v>84</v>
      </c>
      <c r="P5" s="326">
        <v>0</v>
      </c>
      <c r="Q5" s="336">
        <f t="shared" ref="Q5" si="4">SUM(I5/O5)*10</f>
        <v>1.1904761904761905</v>
      </c>
      <c r="R5" s="337">
        <f t="shared" ref="R5" si="5">SUM(J5/O5)*10</f>
        <v>5.1190476190476186</v>
      </c>
    </row>
    <row r="6" spans="1:18" ht="14.95" customHeight="1" thickBot="1" x14ac:dyDescent="0.3">
      <c r="A6" s="59" t="s">
        <v>39</v>
      </c>
      <c r="B6" s="241">
        <f>Irelandyellow</f>
        <v>3</v>
      </c>
      <c r="C6" s="448" t="s">
        <v>431</v>
      </c>
      <c r="D6" s="238">
        <f>Irelandred</f>
        <v>0</v>
      </c>
      <c r="E6" s="239"/>
      <c r="F6" s="240">
        <f t="shared" si="0"/>
        <v>3</v>
      </c>
      <c r="H6" s="58" t="s">
        <v>39</v>
      </c>
      <c r="I6" s="326">
        <v>13</v>
      </c>
      <c r="J6" s="326">
        <v>17</v>
      </c>
      <c r="K6" s="326">
        <v>22</v>
      </c>
      <c r="L6" s="326">
        <v>0</v>
      </c>
      <c r="M6" s="326">
        <v>0</v>
      </c>
      <c r="N6" s="326">
        <v>0</v>
      </c>
      <c r="O6" s="327">
        <f t="shared" si="1"/>
        <v>22</v>
      </c>
      <c r="P6" s="326">
        <v>0</v>
      </c>
      <c r="Q6" s="336">
        <f t="shared" ref="Q6" si="6">SUM(I6/O6)*10</f>
        <v>5.9090909090909092</v>
      </c>
      <c r="R6" s="337">
        <f t="shared" ref="R6" si="7">SUM(J6/O6)*10</f>
        <v>7.7272727272727266</v>
      </c>
    </row>
    <row r="7" spans="1:18" ht="14.95" customHeight="1" thickBot="1" x14ac:dyDescent="0.3">
      <c r="A7" s="352" t="s">
        <v>30</v>
      </c>
      <c r="B7" s="242">
        <f>Englandyellow</f>
        <v>2</v>
      </c>
      <c r="C7" s="243" t="s">
        <v>423</v>
      </c>
      <c r="D7" s="238">
        <f>Englandred</f>
        <v>1</v>
      </c>
      <c r="E7" s="239" t="s">
        <v>273</v>
      </c>
      <c r="F7" s="240">
        <f t="shared" si="0"/>
        <v>4</v>
      </c>
      <c r="H7" s="339" t="s">
        <v>33</v>
      </c>
      <c r="I7" s="326">
        <v>0</v>
      </c>
      <c r="J7" s="326">
        <v>14</v>
      </c>
      <c r="K7" s="326">
        <v>20</v>
      </c>
      <c r="L7" s="326">
        <v>0</v>
      </c>
      <c r="M7" s="326">
        <v>0</v>
      </c>
      <c r="N7" s="326">
        <v>0</v>
      </c>
      <c r="O7" s="327">
        <f t="shared" si="1"/>
        <v>20</v>
      </c>
      <c r="P7" s="326">
        <v>0</v>
      </c>
      <c r="Q7" s="336">
        <f t="shared" ref="Q7" si="8">SUM(I7/O7)*10</f>
        <v>0</v>
      </c>
      <c r="R7" s="337">
        <f t="shared" ref="R7" si="9">SUM(J7/O7)*10</f>
        <v>7</v>
      </c>
    </row>
    <row r="8" spans="1:18" ht="14.95" customHeight="1" thickBot="1" x14ac:dyDescent="0.3">
      <c r="A8" s="304" t="s">
        <v>34</v>
      </c>
      <c r="B8" s="241">
        <f>FRanceyellow</f>
        <v>4</v>
      </c>
      <c r="C8" s="448" t="s">
        <v>430</v>
      </c>
      <c r="D8" s="238">
        <f>Francered</f>
        <v>1</v>
      </c>
      <c r="E8" s="239" t="s">
        <v>276</v>
      </c>
      <c r="F8" s="240">
        <f t="shared" si="0"/>
        <v>6</v>
      </c>
      <c r="H8" s="120" t="s">
        <v>35</v>
      </c>
      <c r="I8" s="326">
        <v>0</v>
      </c>
      <c r="J8" s="326">
        <v>0</v>
      </c>
      <c r="K8" s="326">
        <v>0</v>
      </c>
      <c r="L8" s="326">
        <v>0</v>
      </c>
      <c r="M8" s="326">
        <v>0</v>
      </c>
      <c r="N8" s="326">
        <v>0</v>
      </c>
      <c r="O8" s="327">
        <f t="shared" si="1"/>
        <v>0</v>
      </c>
      <c r="P8" s="326">
        <v>0</v>
      </c>
      <c r="Q8" s="631">
        <v>0</v>
      </c>
      <c r="R8" s="632">
        <v>0</v>
      </c>
    </row>
    <row r="9" spans="1:18" ht="14.95" customHeight="1" thickBot="1" x14ac:dyDescent="0.3">
      <c r="A9" s="354" t="s">
        <v>57</v>
      </c>
      <c r="B9" s="241">
        <f>SUM(B3:B8)</f>
        <v>11</v>
      </c>
      <c r="C9" s="244"/>
      <c r="D9" s="245">
        <f>SUM(D3:D8)</f>
        <v>2</v>
      </c>
      <c r="E9" s="246"/>
      <c r="F9" s="237" t="s">
        <v>58</v>
      </c>
      <c r="H9" s="8" t="s">
        <v>32</v>
      </c>
      <c r="I9" s="326">
        <v>0</v>
      </c>
      <c r="J9" s="326">
        <v>0</v>
      </c>
      <c r="K9" s="326">
        <v>0</v>
      </c>
      <c r="L9" s="326">
        <v>0</v>
      </c>
      <c r="M9" s="326">
        <v>0</v>
      </c>
      <c r="N9" s="326">
        <v>0</v>
      </c>
      <c r="O9" s="327">
        <f t="shared" si="1"/>
        <v>0</v>
      </c>
      <c r="P9" s="326">
        <v>0</v>
      </c>
      <c r="Q9" s="631">
        <v>0</v>
      </c>
      <c r="R9" s="632">
        <v>0</v>
      </c>
    </row>
    <row r="10" spans="1:18" ht="14.95" thickBot="1" x14ac:dyDescent="0.3">
      <c r="D10" s="247"/>
      <c r="E10" s="248"/>
      <c r="H10" s="335" t="s">
        <v>57</v>
      </c>
      <c r="I10" s="330">
        <f>SUM(I4:I9)</f>
        <v>23</v>
      </c>
      <c r="J10" s="330">
        <f>SUM(J4:J9)</f>
        <v>88</v>
      </c>
      <c r="K10" s="330">
        <f t="shared" ref="K10:P10" si="10">SUM(K4:K9)</f>
        <v>138</v>
      </c>
      <c r="L10" s="330">
        <f t="shared" si="10"/>
        <v>6</v>
      </c>
      <c r="M10" s="330">
        <f t="shared" si="10"/>
        <v>0</v>
      </c>
      <c r="N10" s="330">
        <f t="shared" si="10"/>
        <v>0</v>
      </c>
      <c r="O10" s="330">
        <f t="shared" si="10"/>
        <v>144</v>
      </c>
      <c r="P10" s="330">
        <f t="shared" si="10"/>
        <v>0</v>
      </c>
      <c r="Q10" s="333">
        <f t="shared" ref="Q10" si="11">SUM(I10/O10)*10</f>
        <v>1.5972222222222221</v>
      </c>
      <c r="R10" s="334">
        <f t="shared" ref="R10" si="12">SUM(J10/O10)*10</f>
        <v>6.1111111111111116</v>
      </c>
    </row>
    <row r="11" spans="1:18" x14ac:dyDescent="0.25">
      <c r="A11" s="249" t="s">
        <v>59</v>
      </c>
      <c r="B11" s="249"/>
    </row>
    <row r="12" spans="1:18" x14ac:dyDescent="0.25">
      <c r="A12" s="724" t="s">
        <v>429</v>
      </c>
      <c r="B12" s="724"/>
      <c r="C12" s="725"/>
      <c r="D12" s="725"/>
      <c r="I12" s="249" t="s">
        <v>102</v>
      </c>
    </row>
    <row r="13" spans="1:18" ht="14.95" thickBot="1" x14ac:dyDescent="0.3">
      <c r="A13" s="634" t="s">
        <v>28</v>
      </c>
      <c r="B13" s="15"/>
      <c r="E13" t="s">
        <v>58</v>
      </c>
      <c r="I13" s="249"/>
    </row>
    <row r="14" spans="1:18" ht="14.95" thickBot="1" x14ac:dyDescent="0.3">
      <c r="I14" s="719" t="s">
        <v>58</v>
      </c>
      <c r="J14" s="717" t="s">
        <v>92</v>
      </c>
      <c r="K14" s="718"/>
      <c r="L14" s="717" t="s">
        <v>58</v>
      </c>
      <c r="M14" s="721"/>
      <c r="N14" s="721"/>
      <c r="O14" s="721"/>
      <c r="P14" s="718"/>
      <c r="Q14" s="717" t="s">
        <v>95</v>
      </c>
      <c r="R14" s="718"/>
    </row>
    <row r="15" spans="1:18" ht="14.95" thickBot="1" x14ac:dyDescent="0.3">
      <c r="I15" s="720"/>
      <c r="J15" s="320" t="s">
        <v>4</v>
      </c>
      <c r="K15" s="320" t="s">
        <v>5</v>
      </c>
      <c r="L15" s="321" t="s">
        <v>103</v>
      </c>
      <c r="M15" s="322" t="s">
        <v>104</v>
      </c>
      <c r="N15" s="322"/>
      <c r="O15" s="323"/>
      <c r="P15" s="324" t="s">
        <v>100</v>
      </c>
      <c r="Q15" s="321" t="s">
        <v>4</v>
      </c>
      <c r="R15" s="324" t="s">
        <v>5</v>
      </c>
    </row>
    <row r="16" spans="1:18" ht="14.95" thickBot="1" x14ac:dyDescent="0.3">
      <c r="I16" s="342" t="s">
        <v>30</v>
      </c>
      <c r="J16" s="326">
        <v>7</v>
      </c>
      <c r="K16" s="326">
        <v>0</v>
      </c>
      <c r="L16" s="326">
        <v>10</v>
      </c>
      <c r="M16" s="326">
        <v>0</v>
      </c>
      <c r="N16" s="326">
        <v>0</v>
      </c>
      <c r="O16" s="326">
        <v>0</v>
      </c>
      <c r="P16" s="327">
        <f t="shared" ref="P16:P21" si="13">SUM(L16:O16)</f>
        <v>10</v>
      </c>
      <c r="Q16" s="328">
        <f t="shared" ref="Q16:Q17" si="14">SUM(J16/P16)*10</f>
        <v>7</v>
      </c>
      <c r="R16" s="329">
        <f t="shared" ref="R16:R17" si="15">SUM(K16/P16)*10</f>
        <v>0</v>
      </c>
    </row>
    <row r="17" spans="9:18" ht="14.95" thickBot="1" x14ac:dyDescent="0.3">
      <c r="I17" s="303" t="s">
        <v>34</v>
      </c>
      <c r="J17" s="326">
        <v>10</v>
      </c>
      <c r="K17" s="326">
        <v>3</v>
      </c>
      <c r="L17" s="326">
        <v>10</v>
      </c>
      <c r="M17" s="326">
        <v>0</v>
      </c>
      <c r="N17" s="326">
        <v>0</v>
      </c>
      <c r="O17" s="326">
        <v>0</v>
      </c>
      <c r="P17" s="327">
        <f t="shared" si="13"/>
        <v>10</v>
      </c>
      <c r="Q17" s="328">
        <f t="shared" si="14"/>
        <v>10</v>
      </c>
      <c r="R17" s="329">
        <f t="shared" si="15"/>
        <v>3</v>
      </c>
    </row>
    <row r="18" spans="9:18" ht="14.95" thickBot="1" x14ac:dyDescent="0.3">
      <c r="I18" s="58" t="s">
        <v>39</v>
      </c>
      <c r="J18" s="326">
        <v>7</v>
      </c>
      <c r="K18" s="326">
        <v>0</v>
      </c>
      <c r="L18" s="326">
        <v>10</v>
      </c>
      <c r="M18" s="326">
        <v>0</v>
      </c>
      <c r="N18" s="326">
        <v>0</v>
      </c>
      <c r="O18" s="326">
        <v>0</v>
      </c>
      <c r="P18" s="327">
        <f t="shared" si="13"/>
        <v>10</v>
      </c>
      <c r="Q18" s="328">
        <f t="shared" ref="Q18" si="16">SUM(J18/P18)*10</f>
        <v>7</v>
      </c>
      <c r="R18" s="329">
        <f t="shared" ref="R18" si="17">SUM(K18/P18)*10</f>
        <v>0</v>
      </c>
    </row>
    <row r="19" spans="9:18" ht="14.95" thickBot="1" x14ac:dyDescent="0.3">
      <c r="I19" s="339" t="s">
        <v>33</v>
      </c>
      <c r="J19" s="326">
        <v>0</v>
      </c>
      <c r="K19" s="326">
        <v>10</v>
      </c>
      <c r="L19" s="326">
        <v>20</v>
      </c>
      <c r="M19" s="326">
        <v>0</v>
      </c>
      <c r="N19" s="326">
        <v>0</v>
      </c>
      <c r="O19" s="326">
        <v>0</v>
      </c>
      <c r="P19" s="327">
        <f t="shared" si="13"/>
        <v>20</v>
      </c>
      <c r="Q19" s="328">
        <f t="shared" ref="Q19" si="18">SUM(J19/P19)*10</f>
        <v>0</v>
      </c>
      <c r="R19" s="329">
        <f t="shared" ref="R19" si="19">SUM(K19/P19)*10</f>
        <v>5</v>
      </c>
    </row>
    <row r="20" spans="9:18" ht="14.95" thickBot="1" x14ac:dyDescent="0.3">
      <c r="I20" s="120" t="s">
        <v>35</v>
      </c>
      <c r="J20" s="326">
        <v>29</v>
      </c>
      <c r="K20" s="326">
        <v>10</v>
      </c>
      <c r="L20" s="326">
        <v>64</v>
      </c>
      <c r="M20" s="326">
        <v>0</v>
      </c>
      <c r="N20" s="326">
        <v>0</v>
      </c>
      <c r="O20" s="326">
        <v>0</v>
      </c>
      <c r="P20" s="327">
        <f t="shared" si="13"/>
        <v>64</v>
      </c>
      <c r="Q20" s="328">
        <f t="shared" ref="Q20" si="20">SUM(J20/P20)*10</f>
        <v>4.53125</v>
      </c>
      <c r="R20" s="329">
        <f t="shared" ref="R20" si="21">SUM(K20/P20)*10</f>
        <v>1.5625</v>
      </c>
    </row>
    <row r="21" spans="9:18" ht="14.95" thickBot="1" x14ac:dyDescent="0.3">
      <c r="I21" s="8" t="s">
        <v>32</v>
      </c>
      <c r="J21" s="326">
        <v>35</v>
      </c>
      <c r="K21" s="326">
        <v>0</v>
      </c>
      <c r="L21" s="326">
        <v>24</v>
      </c>
      <c r="M21" s="326">
        <v>6</v>
      </c>
      <c r="N21" s="326">
        <v>0</v>
      </c>
      <c r="O21" s="326">
        <v>0</v>
      </c>
      <c r="P21" s="327">
        <f t="shared" si="13"/>
        <v>30</v>
      </c>
      <c r="Q21" s="328">
        <f t="shared" ref="Q21" si="22">SUM(J21/P21)*10</f>
        <v>11.666666666666668</v>
      </c>
      <c r="R21" s="329">
        <f t="shared" ref="R21" si="23">SUM(K21/P21)*10</f>
        <v>0</v>
      </c>
    </row>
    <row r="22" spans="9:18" ht="14.95" thickBot="1" x14ac:dyDescent="0.3">
      <c r="I22" s="335" t="s">
        <v>57</v>
      </c>
      <c r="J22" s="330">
        <f t="shared" ref="J22:P22" si="24">SUM(J16:J21)</f>
        <v>88</v>
      </c>
      <c r="K22" s="331">
        <f t="shared" si="24"/>
        <v>23</v>
      </c>
      <c r="L22" s="330">
        <f t="shared" si="24"/>
        <v>138</v>
      </c>
      <c r="M22" s="332">
        <f t="shared" si="24"/>
        <v>6</v>
      </c>
      <c r="N22" s="332">
        <f t="shared" si="24"/>
        <v>0</v>
      </c>
      <c r="O22" s="332">
        <f t="shared" si="24"/>
        <v>0</v>
      </c>
      <c r="P22" s="331">
        <f t="shared" si="24"/>
        <v>144</v>
      </c>
      <c r="Q22" s="333">
        <f t="shared" ref="Q22" si="25">SUM(J22/P22)*10</f>
        <v>6.1111111111111116</v>
      </c>
      <c r="R22" s="334">
        <f t="shared" ref="R22" si="26">SUM(K22/P22)*10</f>
        <v>1.5972222222222221</v>
      </c>
    </row>
    <row r="23" spans="9:18" x14ac:dyDescent="0.25">
      <c r="I23" t="s">
        <v>58</v>
      </c>
    </row>
    <row r="24" spans="9:18" x14ac:dyDescent="0.25">
      <c r="I24" s="249" t="s">
        <v>277</v>
      </c>
      <c r="J24" s="249"/>
      <c r="K24" s="249"/>
      <c r="L24" s="249"/>
    </row>
    <row r="25" spans="9:18" x14ac:dyDescent="0.25">
      <c r="I25" t="s">
        <v>274</v>
      </c>
      <c r="J25" s="249"/>
      <c r="K25" s="249"/>
      <c r="L25" s="249"/>
    </row>
    <row r="26" spans="9:18" x14ac:dyDescent="0.25">
      <c r="I26" t="s">
        <v>391</v>
      </c>
      <c r="J26" s="249"/>
      <c r="K26" s="249"/>
      <c r="L26" s="249"/>
    </row>
    <row r="27" spans="9:18" x14ac:dyDescent="0.25">
      <c r="I27" t="s">
        <v>278</v>
      </c>
      <c r="J27" s="249"/>
      <c r="K27" s="249"/>
      <c r="L27" s="249"/>
    </row>
    <row r="28" spans="9:18" x14ac:dyDescent="0.25">
      <c r="I28" t="s">
        <v>433</v>
      </c>
      <c r="J28" s="249"/>
      <c r="K28" s="249"/>
      <c r="L28" s="249"/>
    </row>
    <row r="29" spans="9:18" x14ac:dyDescent="0.25">
      <c r="I29" t="s">
        <v>432</v>
      </c>
    </row>
  </sheetData>
  <sortState xmlns:xlrd2="http://schemas.microsoft.com/office/spreadsheetml/2017/richdata2" ref="A3:F8">
    <sortCondition ref="F3:F8"/>
    <sortCondition ref="A3:A8"/>
  </sortState>
  <mergeCells count="11">
    <mergeCell ref="D2:E2"/>
    <mergeCell ref="A12:D12"/>
    <mergeCell ref="H2:H3"/>
    <mergeCell ref="I2:J2"/>
    <mergeCell ref="K2:O2"/>
    <mergeCell ref="B2:C2"/>
    <mergeCell ref="Q2:R2"/>
    <mergeCell ref="I14:I15"/>
    <mergeCell ref="J14:K14"/>
    <mergeCell ref="L14:P14"/>
    <mergeCell ref="Q14:R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E4638-C5FA-47F8-A2FA-37362F541E1B}">
  <dimension ref="A1:O28"/>
  <sheetViews>
    <sheetView workbookViewId="0">
      <selection activeCell="U22" sqref="U22"/>
    </sheetView>
  </sheetViews>
  <sheetFormatPr defaultRowHeight="14.3" x14ac:dyDescent="0.25"/>
  <cols>
    <col min="1" max="1" width="4.125" bestFit="1" customWidth="1"/>
    <col min="2" max="2" width="4.375" bestFit="1" customWidth="1"/>
    <col min="4" max="15" width="4.625" customWidth="1"/>
  </cols>
  <sheetData>
    <row r="1" spans="1:15" x14ac:dyDescent="0.25">
      <c r="A1" s="249" t="s">
        <v>381</v>
      </c>
    </row>
    <row r="2" spans="1:15" ht="14.95" thickBot="1" x14ac:dyDescent="0.3"/>
    <row r="3" spans="1:15" ht="14.95" customHeight="1" thickBot="1" x14ac:dyDescent="0.3">
      <c r="A3" s="343" t="s">
        <v>47</v>
      </c>
      <c r="B3" s="344" t="s">
        <v>48</v>
      </c>
      <c r="C3" s="220"/>
      <c r="D3" s="220" t="s">
        <v>0</v>
      </c>
      <c r="E3" s="221" t="s">
        <v>1</v>
      </c>
      <c r="F3" s="220" t="s">
        <v>2</v>
      </c>
      <c r="G3" s="220" t="s">
        <v>3</v>
      </c>
      <c r="H3" s="220" t="s">
        <v>4</v>
      </c>
      <c r="I3" s="220" t="s">
        <v>5</v>
      </c>
      <c r="J3" s="221" t="s">
        <v>49</v>
      </c>
      <c r="K3" s="220" t="s">
        <v>21</v>
      </c>
      <c r="L3" s="220" t="s">
        <v>22</v>
      </c>
      <c r="M3" s="220" t="s">
        <v>52</v>
      </c>
      <c r="N3" s="220" t="s">
        <v>53</v>
      </c>
      <c r="O3" s="221" t="s">
        <v>50</v>
      </c>
    </row>
    <row r="4" spans="1:15" ht="14.95" thickBot="1" x14ac:dyDescent="0.3">
      <c r="A4" s="345">
        <v>1</v>
      </c>
      <c r="B4" s="591" t="s">
        <v>51</v>
      </c>
      <c r="C4" s="341" t="s">
        <v>30</v>
      </c>
      <c r="D4" s="222">
        <v>3</v>
      </c>
      <c r="E4" s="223">
        <v>3</v>
      </c>
      <c r="F4" s="222">
        <v>0</v>
      </c>
      <c r="G4" s="222">
        <v>0</v>
      </c>
      <c r="H4" s="222">
        <v>82</v>
      </c>
      <c r="I4" s="222">
        <v>20</v>
      </c>
      <c r="J4" s="224">
        <f>SUM(H4-I4)</f>
        <v>62</v>
      </c>
      <c r="K4" s="225">
        <v>1</v>
      </c>
      <c r="L4" s="225">
        <v>0</v>
      </c>
      <c r="M4" s="222">
        <v>10</v>
      </c>
      <c r="N4" s="222">
        <v>2</v>
      </c>
      <c r="O4" s="224">
        <f>SUM(E4*4)+(F4*2)+K4+L4</f>
        <v>13</v>
      </c>
    </row>
    <row r="5" spans="1:15" ht="14.95" thickBot="1" x14ac:dyDescent="0.3">
      <c r="A5" s="345">
        <v>2</v>
      </c>
      <c r="B5" s="590" t="s">
        <v>51</v>
      </c>
      <c r="C5" s="235" t="s">
        <v>39</v>
      </c>
      <c r="D5" s="225">
        <v>3</v>
      </c>
      <c r="E5" s="224">
        <v>2</v>
      </c>
      <c r="F5" s="225">
        <v>0</v>
      </c>
      <c r="G5" s="225">
        <v>1</v>
      </c>
      <c r="H5" s="225">
        <v>62</v>
      </c>
      <c r="I5" s="225">
        <v>37</v>
      </c>
      <c r="J5" s="224">
        <f>SUM(H5-I5)</f>
        <v>25</v>
      </c>
      <c r="K5" s="225">
        <v>0</v>
      </c>
      <c r="L5" s="225">
        <f>Irelandlosingbonus</f>
        <v>0</v>
      </c>
      <c r="M5" s="225">
        <v>5</v>
      </c>
      <c r="N5" s="225">
        <v>3</v>
      </c>
      <c r="O5" s="224">
        <f>SUM(E5*4)+(F5*2)+K5+L5</f>
        <v>8</v>
      </c>
    </row>
    <row r="6" spans="1:15" ht="14.95" thickBot="1" x14ac:dyDescent="0.3">
      <c r="A6" s="345">
        <v>3</v>
      </c>
      <c r="B6" s="590" t="s">
        <v>51</v>
      </c>
      <c r="C6" s="233" t="s">
        <v>32</v>
      </c>
      <c r="D6" s="225">
        <v>3</v>
      </c>
      <c r="E6" s="224">
        <v>1</v>
      </c>
      <c r="F6" s="225">
        <v>0</v>
      </c>
      <c r="G6" s="225">
        <v>2</v>
      </c>
      <c r="H6" s="225">
        <v>40</v>
      </c>
      <c r="I6" s="225">
        <v>56</v>
      </c>
      <c r="J6" s="224">
        <f>SUM(H6-I6)</f>
        <v>-16</v>
      </c>
      <c r="K6" s="225">
        <v>0</v>
      </c>
      <c r="L6" s="225">
        <v>0</v>
      </c>
      <c r="M6" s="225">
        <v>3</v>
      </c>
      <c r="N6" s="225">
        <v>4</v>
      </c>
      <c r="O6" s="224">
        <f>SUM(E6*4)+(F6*2)+K6+L6</f>
        <v>4</v>
      </c>
    </row>
    <row r="7" spans="1:15" ht="14.95" thickBot="1" x14ac:dyDescent="0.3">
      <c r="A7" s="345">
        <v>4</v>
      </c>
      <c r="B7" s="590" t="s">
        <v>51</v>
      </c>
      <c r="C7" s="638" t="s">
        <v>38</v>
      </c>
      <c r="D7" s="225">
        <v>3</v>
      </c>
      <c r="E7" s="224">
        <v>0</v>
      </c>
      <c r="F7" s="225">
        <v>0</v>
      </c>
      <c r="G7" s="225">
        <v>3</v>
      </c>
      <c r="H7" s="225">
        <v>10</v>
      </c>
      <c r="I7" s="225">
        <v>81</v>
      </c>
      <c r="J7" s="224">
        <f>SUM(H7-I7)</f>
        <v>-71</v>
      </c>
      <c r="K7" s="225">
        <v>0</v>
      </c>
      <c r="L7" s="225">
        <f>Francelosingbonus</f>
        <v>0</v>
      </c>
      <c r="M7" s="225">
        <v>1</v>
      </c>
      <c r="N7" s="225">
        <v>10</v>
      </c>
      <c r="O7" s="224">
        <f>SUM(E7*4)+(F7*2)+K7+L7</f>
        <v>0</v>
      </c>
    </row>
    <row r="8" spans="1:15" x14ac:dyDescent="0.25">
      <c r="A8" s="230"/>
      <c r="B8" s="231"/>
      <c r="C8" s="236"/>
      <c r="D8" s="232"/>
      <c r="E8" s="232"/>
      <c r="F8" s="232"/>
      <c r="G8" s="232"/>
      <c r="H8" s="232">
        <f>SUM(H4:H7)</f>
        <v>194</v>
      </c>
      <c r="I8" s="232">
        <f>SUM(I4:I7)</f>
        <v>194</v>
      </c>
      <c r="J8" s="232"/>
      <c r="K8" s="232"/>
      <c r="L8" s="232"/>
      <c r="M8" s="232">
        <f>SUM(M4:M7)</f>
        <v>19</v>
      </c>
      <c r="N8" s="232">
        <f>SUM(N4:N7)</f>
        <v>19</v>
      </c>
      <c r="O8" s="232"/>
    </row>
    <row r="10" spans="1:15" x14ac:dyDescent="0.25">
      <c r="A10" s="249" t="s">
        <v>383</v>
      </c>
    </row>
    <row r="11" spans="1:15" ht="14.95" thickBot="1" x14ac:dyDescent="0.3"/>
    <row r="12" spans="1:15" ht="14.95" customHeight="1" thickBot="1" x14ac:dyDescent="0.3">
      <c r="A12" s="343" t="s">
        <v>47</v>
      </c>
      <c r="B12" s="344" t="s">
        <v>48</v>
      </c>
      <c r="C12" s="220"/>
      <c r="D12" s="220" t="s">
        <v>0</v>
      </c>
      <c r="E12" s="221" t="s">
        <v>1</v>
      </c>
      <c r="F12" s="220" t="s">
        <v>2</v>
      </c>
      <c r="G12" s="220" t="s">
        <v>3</v>
      </c>
      <c r="H12" s="220" t="s">
        <v>4</v>
      </c>
      <c r="I12" s="220" t="s">
        <v>5</v>
      </c>
      <c r="J12" s="221" t="s">
        <v>49</v>
      </c>
      <c r="K12" s="220" t="s">
        <v>21</v>
      </c>
      <c r="L12" s="220" t="s">
        <v>22</v>
      </c>
      <c r="M12" s="220" t="s">
        <v>52</v>
      </c>
      <c r="N12" s="220" t="s">
        <v>53</v>
      </c>
      <c r="O12" s="221" t="s">
        <v>50</v>
      </c>
    </row>
    <row r="13" spans="1:15" ht="14.95" thickBot="1" x14ac:dyDescent="0.3">
      <c r="A13" s="345">
        <v>1</v>
      </c>
      <c r="B13" s="590" t="s">
        <v>51</v>
      </c>
      <c r="C13" s="340" t="s">
        <v>34</v>
      </c>
      <c r="D13" s="225">
        <v>3</v>
      </c>
      <c r="E13" s="224">
        <v>3</v>
      </c>
      <c r="F13" s="225">
        <v>0</v>
      </c>
      <c r="G13" s="225">
        <v>0</v>
      </c>
      <c r="H13" s="225">
        <v>86</v>
      </c>
      <c r="I13" s="225">
        <v>20</v>
      </c>
      <c r="J13" s="224">
        <f>SUM(H13-I13)</f>
        <v>66</v>
      </c>
      <c r="K13" s="225">
        <v>2</v>
      </c>
      <c r="L13" s="225">
        <f>Francelosingbonus</f>
        <v>0</v>
      </c>
      <c r="M13" s="225">
        <v>10</v>
      </c>
      <c r="N13" s="225">
        <v>1</v>
      </c>
      <c r="O13" s="224">
        <f>SUM(E13*4)+(F13*2)+K13+L13</f>
        <v>14</v>
      </c>
    </row>
    <row r="14" spans="1:15" ht="14.95" thickBot="1" x14ac:dyDescent="0.3">
      <c r="A14" s="345">
        <v>2</v>
      </c>
      <c r="B14" s="590" t="s">
        <v>51</v>
      </c>
      <c r="C14" s="587" t="s">
        <v>35</v>
      </c>
      <c r="D14" s="225">
        <v>3</v>
      </c>
      <c r="E14" s="224">
        <v>2</v>
      </c>
      <c r="F14" s="225">
        <v>0</v>
      </c>
      <c r="G14" s="225">
        <v>1</v>
      </c>
      <c r="H14" s="225">
        <v>71</v>
      </c>
      <c r="I14" s="225">
        <v>39</v>
      </c>
      <c r="J14" s="224">
        <f>SUM(H14-I14)</f>
        <v>32</v>
      </c>
      <c r="K14" s="225">
        <v>2</v>
      </c>
      <c r="L14" s="225">
        <v>1</v>
      </c>
      <c r="M14" s="225">
        <v>8</v>
      </c>
      <c r="N14" s="225">
        <v>2</v>
      </c>
      <c r="O14" s="224">
        <f>SUM(E14*4)+(F14*2)+K14+L14</f>
        <v>11</v>
      </c>
    </row>
    <row r="15" spans="1:15" ht="14.95" thickBot="1" x14ac:dyDescent="0.3">
      <c r="A15" s="345">
        <v>3</v>
      </c>
      <c r="B15" s="590" t="s">
        <v>51</v>
      </c>
      <c r="C15" s="338" t="s">
        <v>33</v>
      </c>
      <c r="D15" s="225">
        <v>3</v>
      </c>
      <c r="E15" s="224">
        <v>1</v>
      </c>
      <c r="F15" s="225">
        <v>0</v>
      </c>
      <c r="G15" s="225">
        <v>2</v>
      </c>
      <c r="H15" s="225">
        <v>50</v>
      </c>
      <c r="I15" s="225">
        <v>64</v>
      </c>
      <c r="J15" s="224">
        <f>SUM(H15-I15)</f>
        <v>-14</v>
      </c>
      <c r="K15" s="225">
        <v>1</v>
      </c>
      <c r="L15" s="225">
        <f>Irelandlosingbonus</f>
        <v>0</v>
      </c>
      <c r="M15" s="225">
        <v>6</v>
      </c>
      <c r="N15" s="225">
        <v>9</v>
      </c>
      <c r="O15" s="224">
        <f>SUM(E15*4)+(F15*2)+K15+L15</f>
        <v>5</v>
      </c>
    </row>
    <row r="16" spans="1:15" ht="14.95" thickBot="1" x14ac:dyDescent="0.3">
      <c r="A16" s="345">
        <v>4</v>
      </c>
      <c r="B16" s="591" t="s">
        <v>51</v>
      </c>
      <c r="C16" s="626" t="s">
        <v>31</v>
      </c>
      <c r="D16" s="222">
        <v>3</v>
      </c>
      <c r="E16" s="223">
        <v>0</v>
      </c>
      <c r="F16" s="222">
        <v>0</v>
      </c>
      <c r="G16" s="222">
        <v>3</v>
      </c>
      <c r="H16" s="222">
        <v>0</v>
      </c>
      <c r="I16" s="222">
        <v>84</v>
      </c>
      <c r="J16" s="224">
        <f>SUM(H16-I16)</f>
        <v>-84</v>
      </c>
      <c r="K16" s="225">
        <v>0</v>
      </c>
      <c r="L16" s="225">
        <v>0</v>
      </c>
      <c r="M16" s="222">
        <v>0</v>
      </c>
      <c r="N16" s="222">
        <v>12</v>
      </c>
      <c r="O16" s="224">
        <f>SUM(E16*4)+(F16*2)+K16+L16</f>
        <v>0</v>
      </c>
    </row>
    <row r="17" spans="1:15" x14ac:dyDescent="0.25">
      <c r="A17" s="230"/>
      <c r="B17" s="231"/>
      <c r="C17" s="236"/>
      <c r="D17" s="232"/>
      <c r="E17" s="232"/>
      <c r="F17" s="232"/>
      <c r="G17" s="232"/>
      <c r="H17" s="232">
        <f>SUM(H13:H16)</f>
        <v>207</v>
      </c>
      <c r="I17" s="232">
        <f>SUM(I13:I16)</f>
        <v>207</v>
      </c>
      <c r="J17" s="232"/>
      <c r="K17" s="232"/>
      <c r="L17" s="232"/>
      <c r="M17" s="232">
        <f>SUM(M13:M16)</f>
        <v>24</v>
      </c>
      <c r="N17" s="232">
        <f>SUM(N13:N16)</f>
        <v>24</v>
      </c>
      <c r="O17" s="232"/>
    </row>
    <row r="18" spans="1:15" x14ac:dyDescent="0.25">
      <c r="H18">
        <f>SUM(H8+H17)</f>
        <v>401</v>
      </c>
      <c r="I18">
        <f>SUM(I8+I17)</f>
        <v>401</v>
      </c>
      <c r="M18">
        <f t="shared" ref="M18:N18" si="0">SUM(M8+M17)</f>
        <v>43</v>
      </c>
      <c r="N18">
        <f t="shared" si="0"/>
        <v>43</v>
      </c>
    </row>
    <row r="19" spans="1:15" x14ac:dyDescent="0.25">
      <c r="A19" t="s">
        <v>382</v>
      </c>
    </row>
    <row r="21" spans="1:15" x14ac:dyDescent="0.25">
      <c r="A21" s="634" t="s">
        <v>28</v>
      </c>
    </row>
    <row r="23" spans="1:15" x14ac:dyDescent="0.25">
      <c r="A23" s="696" t="s">
        <v>463</v>
      </c>
    </row>
    <row r="24" spans="1:15" x14ac:dyDescent="0.25">
      <c r="A24" s="695" t="s">
        <v>464</v>
      </c>
    </row>
    <row r="25" spans="1:15" x14ac:dyDescent="0.25">
      <c r="A25" s="695" t="s">
        <v>465</v>
      </c>
    </row>
    <row r="26" spans="1:15" x14ac:dyDescent="0.25">
      <c r="A26" s="695" t="s">
        <v>466</v>
      </c>
    </row>
    <row r="27" spans="1:15" x14ac:dyDescent="0.25">
      <c r="A27" s="695" t="s">
        <v>467</v>
      </c>
    </row>
    <row r="28" spans="1:15" x14ac:dyDescent="0.25">
      <c r="A28" s="695" t="s">
        <v>468</v>
      </c>
    </row>
  </sheetData>
  <sortState xmlns:xlrd2="http://schemas.microsoft.com/office/spreadsheetml/2017/richdata2" ref="A13:O16">
    <sortCondition descending="1" ref="O13:O16"/>
  </sortState>
  <pageMargins left="0.7" right="0.7" top="0.75" bottom="0.75" header="0.3" footer="0.3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4D9AA-1ADA-40AE-94C7-1BBF518BCB76}">
  <dimension ref="A1:M22"/>
  <sheetViews>
    <sheetView workbookViewId="0">
      <selection activeCell="M29" sqref="M29"/>
    </sheetView>
  </sheetViews>
  <sheetFormatPr defaultRowHeight="14.3" x14ac:dyDescent="0.25"/>
  <cols>
    <col min="1" max="1" width="10.625" bestFit="1" customWidth="1"/>
    <col min="2" max="2" width="9.125"/>
    <col min="4" max="4" width="4.625" customWidth="1"/>
    <col min="5" max="5" width="2" bestFit="1" customWidth="1"/>
    <col min="6" max="6" width="4.625" customWidth="1"/>
    <col min="8" max="10" width="10.625" customWidth="1"/>
  </cols>
  <sheetData>
    <row r="1" spans="1:10" x14ac:dyDescent="0.25">
      <c r="A1" s="249" t="s">
        <v>386</v>
      </c>
      <c r="B1" s="249" t="s">
        <v>384</v>
      </c>
      <c r="C1" s="728"/>
      <c r="D1" s="729"/>
      <c r="E1" s="729"/>
      <c r="F1" s="729"/>
      <c r="G1" s="729"/>
    </row>
    <row r="2" spans="1:10" x14ac:dyDescent="0.25">
      <c r="A2" s="292">
        <v>44148</v>
      </c>
      <c r="B2" s="295" t="s">
        <v>5</v>
      </c>
      <c r="C2" s="317" t="s">
        <v>39</v>
      </c>
      <c r="D2" s="294">
        <v>32</v>
      </c>
      <c r="E2" s="293" t="s">
        <v>425</v>
      </c>
      <c r="F2" s="317">
        <v>9</v>
      </c>
      <c r="G2" s="317" t="s">
        <v>32</v>
      </c>
      <c r="H2" s="730" t="s">
        <v>284</v>
      </c>
      <c r="I2" s="730"/>
      <c r="J2" s="730"/>
    </row>
    <row r="3" spans="1:10" x14ac:dyDescent="0.25">
      <c r="A3" s="292">
        <v>44149</v>
      </c>
      <c r="B3" s="295" t="s">
        <v>385</v>
      </c>
      <c r="C3" s="317" t="s">
        <v>33</v>
      </c>
      <c r="D3" s="294">
        <v>17</v>
      </c>
      <c r="E3" s="293" t="s">
        <v>425</v>
      </c>
      <c r="F3" s="317">
        <v>28</v>
      </c>
      <c r="G3" s="317" t="s">
        <v>35</v>
      </c>
      <c r="H3" s="730" t="s">
        <v>417</v>
      </c>
      <c r="I3" s="730"/>
      <c r="J3" s="730"/>
    </row>
    <row r="4" spans="1:10" x14ac:dyDescent="0.25">
      <c r="A4" s="292">
        <v>44149</v>
      </c>
      <c r="B4" s="295" t="s">
        <v>5</v>
      </c>
      <c r="C4" s="317" t="s">
        <v>30</v>
      </c>
      <c r="D4" s="294">
        <v>40</v>
      </c>
      <c r="E4" s="293" t="s">
        <v>425</v>
      </c>
      <c r="F4" s="317">
        <v>0</v>
      </c>
      <c r="G4" s="317" t="s">
        <v>38</v>
      </c>
      <c r="H4" s="730" t="s">
        <v>287</v>
      </c>
      <c r="I4" s="730"/>
      <c r="J4" s="730"/>
    </row>
    <row r="5" spans="1:10" x14ac:dyDescent="0.25">
      <c r="A5" s="292">
        <v>44150</v>
      </c>
      <c r="B5" s="293" t="s">
        <v>385</v>
      </c>
      <c r="C5" s="317" t="s">
        <v>34</v>
      </c>
      <c r="D5" s="294">
        <v>28</v>
      </c>
      <c r="E5" s="293" t="s">
        <v>425</v>
      </c>
      <c r="F5" s="317">
        <v>0</v>
      </c>
      <c r="G5" s="317" t="s">
        <v>31</v>
      </c>
      <c r="H5" s="730" t="s">
        <v>523</v>
      </c>
      <c r="I5" s="730"/>
      <c r="J5" s="730"/>
    </row>
    <row r="6" spans="1:10" x14ac:dyDescent="0.25">
      <c r="A6" s="628">
        <v>44156</v>
      </c>
      <c r="B6" s="630" t="s">
        <v>385</v>
      </c>
      <c r="C6" s="629" t="s">
        <v>33</v>
      </c>
      <c r="D6" s="629">
        <v>28</v>
      </c>
      <c r="E6" s="293" t="s">
        <v>425</v>
      </c>
      <c r="F6" s="693">
        <v>0</v>
      </c>
      <c r="G6" s="629" t="s">
        <v>31</v>
      </c>
      <c r="H6" s="731" t="s">
        <v>522</v>
      </c>
      <c r="I6" s="725"/>
      <c r="J6" s="725"/>
    </row>
    <row r="7" spans="1:10" x14ac:dyDescent="0.25">
      <c r="A7" s="628">
        <v>44156</v>
      </c>
      <c r="B7" s="630" t="s">
        <v>5</v>
      </c>
      <c r="C7" s="629" t="s">
        <v>30</v>
      </c>
      <c r="D7" s="629">
        <v>18</v>
      </c>
      <c r="E7" s="293" t="s">
        <v>425</v>
      </c>
      <c r="F7" s="693">
        <v>7</v>
      </c>
      <c r="G7" s="629" t="s">
        <v>39</v>
      </c>
      <c r="H7" s="730" t="s">
        <v>287</v>
      </c>
      <c r="I7" s="730"/>
      <c r="J7" s="730"/>
    </row>
    <row r="8" spans="1:10" x14ac:dyDescent="0.25">
      <c r="A8" s="628">
        <v>44156</v>
      </c>
      <c r="B8" s="630" t="s">
        <v>5</v>
      </c>
      <c r="C8" s="629" t="s">
        <v>32</v>
      </c>
      <c r="D8" s="629">
        <v>18</v>
      </c>
      <c r="E8" s="293" t="s">
        <v>425</v>
      </c>
      <c r="F8" s="693">
        <v>0</v>
      </c>
      <c r="G8" s="629" t="s">
        <v>38</v>
      </c>
      <c r="H8" s="731" t="s">
        <v>387</v>
      </c>
      <c r="I8" s="725"/>
      <c r="J8" s="725"/>
    </row>
    <row r="9" spans="1:10" x14ac:dyDescent="0.25">
      <c r="A9" s="628">
        <v>44157</v>
      </c>
      <c r="B9" s="630" t="s">
        <v>385</v>
      </c>
      <c r="C9" s="629" t="s">
        <v>35</v>
      </c>
      <c r="D9" s="629">
        <v>15</v>
      </c>
      <c r="E9" s="293" t="s">
        <v>425</v>
      </c>
      <c r="F9" s="693">
        <v>22</v>
      </c>
      <c r="G9" s="629" t="s">
        <v>34</v>
      </c>
      <c r="H9" s="731" t="s">
        <v>286</v>
      </c>
      <c r="I9" s="725"/>
      <c r="J9" s="725"/>
    </row>
    <row r="10" spans="1:10" x14ac:dyDescent="0.25">
      <c r="A10" s="628">
        <v>44163</v>
      </c>
      <c r="B10" s="630" t="s">
        <v>385</v>
      </c>
      <c r="C10" s="629" t="s">
        <v>35</v>
      </c>
      <c r="D10" s="629">
        <v>28</v>
      </c>
      <c r="E10" s="293" t="s">
        <v>425</v>
      </c>
      <c r="F10" s="693">
        <v>0</v>
      </c>
      <c r="G10" s="629" t="s">
        <v>31</v>
      </c>
      <c r="H10" s="731" t="s">
        <v>524</v>
      </c>
      <c r="I10" s="725"/>
      <c r="J10" s="725"/>
    </row>
    <row r="11" spans="1:10" x14ac:dyDescent="0.25">
      <c r="A11" s="628">
        <v>44163</v>
      </c>
      <c r="B11" s="630" t="s">
        <v>5</v>
      </c>
      <c r="C11" s="629" t="s">
        <v>32</v>
      </c>
      <c r="D11" s="629">
        <v>13</v>
      </c>
      <c r="E11" s="293" t="s">
        <v>425</v>
      </c>
      <c r="F11" s="693">
        <v>24</v>
      </c>
      <c r="G11" s="629" t="s">
        <v>30</v>
      </c>
      <c r="H11" s="731" t="s">
        <v>387</v>
      </c>
      <c r="I11" s="725"/>
      <c r="J11" s="725"/>
    </row>
    <row r="12" spans="1:10" x14ac:dyDescent="0.25">
      <c r="A12" s="628">
        <v>44163</v>
      </c>
      <c r="B12" s="630" t="s">
        <v>385</v>
      </c>
      <c r="C12" s="629" t="s">
        <v>34</v>
      </c>
      <c r="D12" s="629">
        <v>36</v>
      </c>
      <c r="E12" s="293" t="s">
        <v>425</v>
      </c>
      <c r="F12" s="693">
        <v>5</v>
      </c>
      <c r="G12" s="629" t="s">
        <v>33</v>
      </c>
      <c r="H12" s="731" t="s">
        <v>285</v>
      </c>
      <c r="I12" s="725"/>
      <c r="J12" s="725"/>
    </row>
    <row r="13" spans="1:10" x14ac:dyDescent="0.25">
      <c r="A13" s="628">
        <v>44164</v>
      </c>
      <c r="B13" s="630" t="s">
        <v>5</v>
      </c>
      <c r="C13" s="629" t="s">
        <v>39</v>
      </c>
      <c r="D13" s="629">
        <v>23</v>
      </c>
      <c r="E13" s="293" t="s">
        <v>425</v>
      </c>
      <c r="F13" s="693">
        <v>10</v>
      </c>
      <c r="G13" s="629" t="s">
        <v>38</v>
      </c>
      <c r="H13" s="730" t="s">
        <v>284</v>
      </c>
      <c r="I13" s="730"/>
      <c r="J13" s="730"/>
    </row>
    <row r="14" spans="1:10" x14ac:dyDescent="0.25">
      <c r="A14" s="628">
        <v>44170</v>
      </c>
      <c r="B14" s="630" t="s">
        <v>487</v>
      </c>
      <c r="C14" s="629" t="s">
        <v>38</v>
      </c>
      <c r="D14" s="629">
        <v>24</v>
      </c>
      <c r="E14" s="293" t="s">
        <v>425</v>
      </c>
      <c r="F14" s="693">
        <v>38</v>
      </c>
      <c r="G14" s="629" t="s">
        <v>31</v>
      </c>
      <c r="H14" s="731" t="s">
        <v>286</v>
      </c>
      <c r="I14" s="725"/>
      <c r="J14" s="725"/>
    </row>
    <row r="15" spans="1:10" x14ac:dyDescent="0.25">
      <c r="A15" s="628">
        <v>44170</v>
      </c>
      <c r="B15" s="630" t="s">
        <v>488</v>
      </c>
      <c r="C15" s="629" t="s">
        <v>39</v>
      </c>
      <c r="D15" s="629">
        <v>31</v>
      </c>
      <c r="E15" s="293" t="s">
        <v>425</v>
      </c>
      <c r="F15" s="693">
        <v>16</v>
      </c>
      <c r="G15" s="629" t="s">
        <v>35</v>
      </c>
      <c r="H15" s="730" t="s">
        <v>284</v>
      </c>
      <c r="I15" s="730"/>
      <c r="J15" s="730"/>
    </row>
    <row r="16" spans="1:10" x14ac:dyDescent="0.25">
      <c r="A16" s="628">
        <v>44170</v>
      </c>
      <c r="B16" s="630" t="s">
        <v>489</v>
      </c>
      <c r="C16" s="629" t="s">
        <v>32</v>
      </c>
      <c r="D16" s="629">
        <v>38</v>
      </c>
      <c r="E16" s="293" t="s">
        <v>425</v>
      </c>
      <c r="F16" s="693">
        <v>18</v>
      </c>
      <c r="G16" s="629" t="s">
        <v>33</v>
      </c>
      <c r="H16" s="731" t="s">
        <v>387</v>
      </c>
      <c r="I16" s="725"/>
      <c r="J16" s="725"/>
    </row>
    <row r="17" spans="1:13" x14ac:dyDescent="0.25">
      <c r="A17" s="628">
        <v>44171</v>
      </c>
      <c r="B17" s="630" t="s">
        <v>521</v>
      </c>
      <c r="C17" s="629" t="s">
        <v>30</v>
      </c>
      <c r="D17" s="629">
        <v>22</v>
      </c>
      <c r="E17" s="293" t="s">
        <v>425</v>
      </c>
      <c r="F17" s="693">
        <v>19</v>
      </c>
      <c r="G17" s="629" t="s">
        <v>34</v>
      </c>
      <c r="H17" s="730" t="s">
        <v>287</v>
      </c>
      <c r="I17" s="730"/>
      <c r="J17" s="730"/>
    </row>
    <row r="18" spans="1:13" x14ac:dyDescent="0.25">
      <c r="A18" s="708" t="s">
        <v>515</v>
      </c>
      <c r="B18" s="709"/>
      <c r="C18" s="480"/>
      <c r="D18" s="480"/>
      <c r="E18" s="314"/>
      <c r="F18" s="710"/>
      <c r="G18" s="480"/>
      <c r="H18" s="355"/>
      <c r="I18" s="355"/>
      <c r="J18" s="355"/>
      <c r="K18" s="14"/>
      <c r="L18" s="14"/>
      <c r="M18" s="14"/>
    </row>
    <row r="19" spans="1:13" x14ac:dyDescent="0.25">
      <c r="A19" s="708" t="s">
        <v>525</v>
      </c>
      <c r="B19" s="709"/>
      <c r="C19" s="480"/>
      <c r="D19" s="480"/>
      <c r="E19" s="314"/>
      <c r="F19" s="710"/>
      <c r="G19" s="480"/>
      <c r="H19" s="355"/>
      <c r="I19" s="355"/>
      <c r="J19" s="355"/>
      <c r="K19" s="14"/>
      <c r="L19" s="14"/>
      <c r="M19" s="14"/>
    </row>
    <row r="20" spans="1:13" x14ac:dyDescent="0.25">
      <c r="A20" s="634" t="s">
        <v>28</v>
      </c>
    </row>
    <row r="21" spans="1:13" x14ac:dyDescent="0.25">
      <c r="D21">
        <f>SUM(D2:D17)-84</f>
        <v>327</v>
      </c>
      <c r="F21">
        <f>SUM(F2:F17)</f>
        <v>196</v>
      </c>
    </row>
    <row r="22" spans="1:13" x14ac:dyDescent="0.25">
      <c r="F22">
        <f>SUM(D21+F21)</f>
        <v>523</v>
      </c>
    </row>
  </sheetData>
  <mergeCells count="17">
    <mergeCell ref="H6:J6"/>
    <mergeCell ref="H7:J7"/>
    <mergeCell ref="H17:J17"/>
    <mergeCell ref="H9:J9"/>
    <mergeCell ref="H10:J10"/>
    <mergeCell ref="H14:J14"/>
    <mergeCell ref="H8:J8"/>
    <mergeCell ref="H11:J11"/>
    <mergeCell ref="H16:J16"/>
    <mergeCell ref="H12:J12"/>
    <mergeCell ref="H13:J13"/>
    <mergeCell ref="H15:J15"/>
    <mergeCell ref="C1:G1"/>
    <mergeCell ref="H4:J4"/>
    <mergeCell ref="H5:J5"/>
    <mergeCell ref="H2:J2"/>
    <mergeCell ref="H3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D9FF3-B8AD-42B4-89DE-E20A83B6BD4C}">
  <dimension ref="A1:R29"/>
  <sheetViews>
    <sheetView workbookViewId="0">
      <selection activeCell="U10" sqref="U10"/>
    </sheetView>
  </sheetViews>
  <sheetFormatPr defaultRowHeight="14.3" x14ac:dyDescent="0.25"/>
  <cols>
    <col min="3" max="3" width="10.625" customWidth="1"/>
  </cols>
  <sheetData>
    <row r="1" spans="1:18" ht="14.95" thickBot="1" x14ac:dyDescent="0.3"/>
    <row r="2" spans="1:18" ht="17" thickBot="1" x14ac:dyDescent="0.3">
      <c r="A2" s="198"/>
      <c r="B2" s="726" t="s">
        <v>54</v>
      </c>
      <c r="C2" s="727"/>
      <c r="D2" s="722" t="s">
        <v>55</v>
      </c>
      <c r="E2" s="723"/>
      <c r="F2" s="237" t="s">
        <v>56</v>
      </c>
      <c r="H2" s="719" t="s">
        <v>58</v>
      </c>
      <c r="I2" s="717" t="s">
        <v>92</v>
      </c>
      <c r="J2" s="718"/>
      <c r="K2" s="717" t="s">
        <v>93</v>
      </c>
      <c r="L2" s="721"/>
      <c r="M2" s="721"/>
      <c r="N2" s="721"/>
      <c r="O2" s="718"/>
      <c r="P2" s="319" t="s">
        <v>94</v>
      </c>
      <c r="Q2" s="717" t="s">
        <v>95</v>
      </c>
      <c r="R2" s="718"/>
    </row>
    <row r="3" spans="1:18" ht="14.95" thickBot="1" x14ac:dyDescent="0.3">
      <c r="A3" s="352" t="s">
        <v>30</v>
      </c>
      <c r="B3" s="589"/>
      <c r="C3" s="450"/>
      <c r="D3" s="238"/>
      <c r="E3" s="239"/>
      <c r="F3" s="240">
        <v>0</v>
      </c>
      <c r="H3" s="720"/>
      <c r="I3" s="320" t="s">
        <v>4</v>
      </c>
      <c r="J3" s="320" t="s">
        <v>5</v>
      </c>
      <c r="K3" s="321" t="s">
        <v>96</v>
      </c>
      <c r="L3" s="322" t="s">
        <v>97</v>
      </c>
      <c r="M3" s="322" t="s">
        <v>98</v>
      </c>
      <c r="N3" s="323" t="s">
        <v>99</v>
      </c>
      <c r="O3" s="324" t="s">
        <v>100</v>
      </c>
      <c r="P3" s="325" t="s">
        <v>101</v>
      </c>
      <c r="Q3" s="321" t="s">
        <v>4</v>
      </c>
      <c r="R3" s="324" t="s">
        <v>5</v>
      </c>
    </row>
    <row r="4" spans="1:18" ht="14.95" thickBot="1" x14ac:dyDescent="0.3">
      <c r="A4" s="627" t="s">
        <v>31</v>
      </c>
      <c r="B4" s="242"/>
      <c r="C4" s="243"/>
      <c r="D4" s="238"/>
      <c r="E4" s="239"/>
      <c r="F4" s="240">
        <v>0</v>
      </c>
      <c r="H4" s="352" t="s">
        <v>30</v>
      </c>
      <c r="I4" s="326">
        <v>0</v>
      </c>
      <c r="J4" s="326">
        <v>0</v>
      </c>
      <c r="K4" s="326">
        <v>0</v>
      </c>
      <c r="L4" s="326">
        <v>0</v>
      </c>
      <c r="M4" s="326">
        <v>0</v>
      </c>
      <c r="N4" s="326">
        <v>0</v>
      </c>
      <c r="O4" s="327">
        <f t="shared" ref="O4:O11" si="0">SUM(K4:N4)</f>
        <v>0</v>
      </c>
      <c r="P4" s="326">
        <v>0</v>
      </c>
      <c r="Q4" s="631">
        <v>0</v>
      </c>
      <c r="R4" s="632">
        <v>0</v>
      </c>
    </row>
    <row r="5" spans="1:18" ht="14.95" thickBot="1" x14ac:dyDescent="0.3">
      <c r="A5" s="304" t="s">
        <v>34</v>
      </c>
      <c r="B5" s="241"/>
      <c r="C5" s="448"/>
      <c r="D5" s="238"/>
      <c r="E5" s="239"/>
      <c r="F5" s="240">
        <v>0</v>
      </c>
      <c r="H5" s="627" t="s">
        <v>31</v>
      </c>
      <c r="I5" s="326">
        <v>0</v>
      </c>
      <c r="J5" s="326">
        <v>0</v>
      </c>
      <c r="K5" s="326">
        <v>0</v>
      </c>
      <c r="L5" s="326">
        <v>0</v>
      </c>
      <c r="M5" s="326">
        <v>0</v>
      </c>
      <c r="N5" s="326">
        <v>0</v>
      </c>
      <c r="O5" s="327">
        <f t="shared" si="0"/>
        <v>0</v>
      </c>
      <c r="P5" s="326">
        <v>0</v>
      </c>
      <c r="Q5" s="631">
        <v>0</v>
      </c>
      <c r="R5" s="632">
        <v>0</v>
      </c>
    </row>
    <row r="6" spans="1:18" ht="14.95" customHeight="1" thickBot="1" x14ac:dyDescent="0.3">
      <c r="A6" s="59" t="s">
        <v>39</v>
      </c>
      <c r="B6" s="241"/>
      <c r="C6" s="448"/>
      <c r="D6" s="238"/>
      <c r="E6" s="239"/>
      <c r="F6" s="240">
        <v>0</v>
      </c>
      <c r="H6" s="304" t="s">
        <v>34</v>
      </c>
      <c r="I6" s="326">
        <v>0</v>
      </c>
      <c r="J6" s="326">
        <v>0</v>
      </c>
      <c r="K6" s="326">
        <v>0</v>
      </c>
      <c r="L6" s="326">
        <v>0</v>
      </c>
      <c r="M6" s="326">
        <v>0</v>
      </c>
      <c r="N6" s="326">
        <v>0</v>
      </c>
      <c r="O6" s="327">
        <f t="shared" si="0"/>
        <v>0</v>
      </c>
      <c r="P6" s="326">
        <v>0</v>
      </c>
      <c r="Q6" s="631">
        <v>0</v>
      </c>
      <c r="R6" s="632">
        <v>0</v>
      </c>
    </row>
    <row r="7" spans="1:18" ht="14.95" thickBot="1" x14ac:dyDescent="0.3">
      <c r="A7" s="639" t="s">
        <v>38</v>
      </c>
      <c r="B7" s="242">
        <v>1</v>
      </c>
      <c r="C7" s="450" t="s">
        <v>483</v>
      </c>
      <c r="D7" s="238"/>
      <c r="E7" s="239"/>
      <c r="F7" s="240">
        <v>1</v>
      </c>
      <c r="H7" s="639" t="s">
        <v>38</v>
      </c>
      <c r="I7" s="326">
        <v>0</v>
      </c>
      <c r="J7" s="326">
        <v>0</v>
      </c>
      <c r="K7" s="326">
        <v>10</v>
      </c>
      <c r="L7" s="326">
        <v>0</v>
      </c>
      <c r="M7" s="326">
        <v>0</v>
      </c>
      <c r="N7" s="326">
        <v>0</v>
      </c>
      <c r="O7" s="327">
        <f t="shared" si="0"/>
        <v>10</v>
      </c>
      <c r="P7" s="326">
        <v>0</v>
      </c>
      <c r="Q7" s="336">
        <f t="shared" ref="Q7" si="1">SUM(I7/O7)*10</f>
        <v>0</v>
      </c>
      <c r="R7" s="337">
        <f t="shared" ref="R7:R9" si="2">SUM(J7/O7)*10</f>
        <v>0</v>
      </c>
    </row>
    <row r="8" spans="1:18" ht="14.95" thickBot="1" x14ac:dyDescent="0.3">
      <c r="A8" s="353" t="s">
        <v>33</v>
      </c>
      <c r="B8" s="241">
        <v>1</v>
      </c>
      <c r="C8" s="244" t="s">
        <v>494</v>
      </c>
      <c r="D8" s="238"/>
      <c r="E8" s="239"/>
      <c r="F8" s="240">
        <v>1</v>
      </c>
      <c r="H8" s="59" t="s">
        <v>39</v>
      </c>
      <c r="I8" s="326">
        <v>0</v>
      </c>
      <c r="J8" s="326">
        <v>0</v>
      </c>
      <c r="K8" s="326">
        <v>0</v>
      </c>
      <c r="L8" s="326">
        <v>0</v>
      </c>
      <c r="M8" s="326">
        <v>0</v>
      </c>
      <c r="N8" s="326">
        <v>0</v>
      </c>
      <c r="O8" s="327">
        <f t="shared" si="0"/>
        <v>0</v>
      </c>
      <c r="P8" s="326">
        <v>0</v>
      </c>
      <c r="Q8" s="631">
        <v>0</v>
      </c>
      <c r="R8" s="632">
        <v>0</v>
      </c>
    </row>
    <row r="9" spans="1:18" ht="14.95" thickBot="1" x14ac:dyDescent="0.3">
      <c r="A9" s="121" t="s">
        <v>35</v>
      </c>
      <c r="B9" s="242">
        <v>1</v>
      </c>
      <c r="C9" s="243" t="s">
        <v>507</v>
      </c>
      <c r="D9" s="238"/>
      <c r="E9" s="239"/>
      <c r="F9" s="240">
        <v>1</v>
      </c>
      <c r="H9" s="353" t="s">
        <v>33</v>
      </c>
      <c r="I9" s="326">
        <v>0</v>
      </c>
      <c r="J9" s="326">
        <v>19</v>
      </c>
      <c r="K9" s="326">
        <v>10</v>
      </c>
      <c r="L9" s="326">
        <v>0</v>
      </c>
      <c r="M9" s="326">
        <v>0</v>
      </c>
      <c r="N9" s="326">
        <v>0</v>
      </c>
      <c r="O9" s="327">
        <f t="shared" si="0"/>
        <v>10</v>
      </c>
      <c r="P9" s="326">
        <v>0</v>
      </c>
      <c r="Q9" s="336">
        <f t="shared" ref="Q9" si="3">SUM(I9/O9)*10</f>
        <v>0</v>
      </c>
      <c r="R9" s="337">
        <f t="shared" si="2"/>
        <v>19</v>
      </c>
    </row>
    <row r="10" spans="1:18" ht="14.95" thickBot="1" x14ac:dyDescent="0.3">
      <c r="A10" s="9" t="s">
        <v>32</v>
      </c>
      <c r="B10" s="242">
        <v>1</v>
      </c>
      <c r="C10" s="243" t="s">
        <v>510</v>
      </c>
      <c r="D10" s="238"/>
      <c r="E10" s="239"/>
      <c r="F10" s="240">
        <v>1</v>
      </c>
      <c r="H10" s="121" t="s">
        <v>35</v>
      </c>
      <c r="I10" s="326">
        <v>0</v>
      </c>
      <c r="J10" s="326">
        <v>5</v>
      </c>
      <c r="K10" s="326">
        <v>10</v>
      </c>
      <c r="L10" s="326">
        <v>0</v>
      </c>
      <c r="M10" s="326">
        <v>0</v>
      </c>
      <c r="N10" s="326">
        <v>0</v>
      </c>
      <c r="O10" s="327">
        <f t="shared" si="0"/>
        <v>10</v>
      </c>
      <c r="P10" s="326">
        <v>0</v>
      </c>
      <c r="Q10" s="336">
        <f t="shared" ref="Q10" si="4">SUM(I10/O10)*10</f>
        <v>0</v>
      </c>
      <c r="R10" s="337">
        <f t="shared" ref="R10" si="5">SUM(J10/O10)*10</f>
        <v>5</v>
      </c>
    </row>
    <row r="11" spans="1:18" ht="14.95" thickBot="1" x14ac:dyDescent="0.3">
      <c r="A11" s="354" t="s">
        <v>57</v>
      </c>
      <c r="B11" s="241">
        <f>SUM(B3:B10)</f>
        <v>4</v>
      </c>
      <c r="C11" s="244"/>
      <c r="D11" s="245">
        <f>SUM(D3:D10)</f>
        <v>0</v>
      </c>
      <c r="E11" s="246"/>
      <c r="F11" s="237" t="s">
        <v>58</v>
      </c>
      <c r="H11" s="9" t="s">
        <v>32</v>
      </c>
      <c r="I11" s="326">
        <v>3</v>
      </c>
      <c r="J11" s="326">
        <v>5</v>
      </c>
      <c r="K11" s="326">
        <v>10</v>
      </c>
      <c r="L11" s="326">
        <v>0</v>
      </c>
      <c r="M11" s="326">
        <v>0</v>
      </c>
      <c r="N11" s="326">
        <v>0</v>
      </c>
      <c r="O11" s="327">
        <f t="shared" si="0"/>
        <v>10</v>
      </c>
      <c r="P11" s="326">
        <v>0</v>
      </c>
      <c r="Q11" s="336">
        <f t="shared" ref="Q11" si="6">SUM(I11/O11)*10</f>
        <v>3</v>
      </c>
      <c r="R11" s="337">
        <f t="shared" ref="R11" si="7">SUM(J11/O11)*10</f>
        <v>5</v>
      </c>
    </row>
    <row r="12" spans="1:18" ht="14.95" thickBot="1" x14ac:dyDescent="0.3">
      <c r="D12" s="247"/>
      <c r="E12" s="248"/>
      <c r="H12" s="335" t="s">
        <v>57</v>
      </c>
      <c r="I12" s="330">
        <f t="shared" ref="I12:P12" si="8">SUM(I4:I11)</f>
        <v>3</v>
      </c>
      <c r="J12" s="330">
        <f t="shared" si="8"/>
        <v>29</v>
      </c>
      <c r="K12" s="330">
        <f t="shared" si="8"/>
        <v>40</v>
      </c>
      <c r="L12" s="330">
        <f t="shared" si="8"/>
        <v>0</v>
      </c>
      <c r="M12" s="330">
        <f t="shared" si="8"/>
        <v>0</v>
      </c>
      <c r="N12" s="330">
        <f t="shared" si="8"/>
        <v>0</v>
      </c>
      <c r="O12" s="330">
        <f t="shared" si="8"/>
        <v>40</v>
      </c>
      <c r="P12" s="330">
        <f t="shared" si="8"/>
        <v>0</v>
      </c>
      <c r="Q12" s="333">
        <f t="shared" ref="Q12" si="9">SUM(I12/O12)*10</f>
        <v>0.75</v>
      </c>
      <c r="R12" s="334">
        <f t="shared" ref="R12" si="10">SUM(J12/O12)*10</f>
        <v>7.25</v>
      </c>
    </row>
    <row r="13" spans="1:18" x14ac:dyDescent="0.25">
      <c r="A13" s="249"/>
      <c r="B13" s="249"/>
    </row>
    <row r="14" spans="1:18" x14ac:dyDescent="0.25">
      <c r="A14" s="724"/>
      <c r="B14" s="724"/>
      <c r="C14" s="725"/>
      <c r="D14" s="725"/>
      <c r="I14" s="249" t="s">
        <v>102</v>
      </c>
    </row>
    <row r="15" spans="1:18" ht="14.95" thickBot="1" x14ac:dyDescent="0.3">
      <c r="A15" s="15"/>
      <c r="B15" s="15"/>
      <c r="E15" t="s">
        <v>58</v>
      </c>
      <c r="I15" s="249"/>
    </row>
    <row r="16" spans="1:18" ht="14.95" thickBot="1" x14ac:dyDescent="0.3">
      <c r="A16" s="249" t="s">
        <v>59</v>
      </c>
      <c r="B16" s="249"/>
      <c r="I16" s="719" t="s">
        <v>58</v>
      </c>
      <c r="J16" s="717" t="s">
        <v>92</v>
      </c>
      <c r="K16" s="718"/>
      <c r="L16" s="717" t="s">
        <v>58</v>
      </c>
      <c r="M16" s="721"/>
      <c r="N16" s="721"/>
      <c r="O16" s="721"/>
      <c r="P16" s="718"/>
      <c r="Q16" s="717" t="s">
        <v>95</v>
      </c>
      <c r="R16" s="718"/>
    </row>
    <row r="17" spans="1:18" ht="14.95" thickBot="1" x14ac:dyDescent="0.3">
      <c r="A17" s="724" t="s">
        <v>520</v>
      </c>
      <c r="B17" s="724"/>
      <c r="C17" s="725"/>
      <c r="D17" s="725"/>
      <c r="I17" s="720"/>
      <c r="J17" s="320" t="s">
        <v>4</v>
      </c>
      <c r="K17" s="320" t="s">
        <v>5</v>
      </c>
      <c r="L17" s="321" t="s">
        <v>103</v>
      </c>
      <c r="M17" s="322" t="s">
        <v>104</v>
      </c>
      <c r="N17" s="322"/>
      <c r="O17" s="323"/>
      <c r="P17" s="324" t="s">
        <v>100</v>
      </c>
      <c r="Q17" s="321" t="s">
        <v>4</v>
      </c>
      <c r="R17" s="324" t="s">
        <v>5</v>
      </c>
    </row>
    <row r="18" spans="1:18" ht="14.95" thickBot="1" x14ac:dyDescent="0.3">
      <c r="A18" s="634" t="s">
        <v>28</v>
      </c>
      <c r="B18" s="15"/>
      <c r="I18" s="342" t="s">
        <v>30</v>
      </c>
      <c r="J18" s="326">
        <v>0</v>
      </c>
      <c r="K18" s="326">
        <v>0</v>
      </c>
      <c r="L18" s="326">
        <v>0</v>
      </c>
      <c r="M18" s="326">
        <v>0</v>
      </c>
      <c r="N18" s="326">
        <v>0</v>
      </c>
      <c r="O18" s="326">
        <v>0</v>
      </c>
      <c r="P18" s="327">
        <f t="shared" ref="P18:P25" si="11">SUM(L18:O18)</f>
        <v>0</v>
      </c>
      <c r="Q18" s="631">
        <v>0</v>
      </c>
      <c r="R18" s="697">
        <v>0</v>
      </c>
    </row>
    <row r="19" spans="1:18" ht="14.95" thickBot="1" x14ac:dyDescent="0.3">
      <c r="I19" s="627" t="s">
        <v>31</v>
      </c>
      <c r="J19" s="326">
        <v>0</v>
      </c>
      <c r="K19" s="326">
        <v>0</v>
      </c>
      <c r="L19" s="326">
        <v>0</v>
      </c>
      <c r="M19" s="326">
        <v>0</v>
      </c>
      <c r="N19" s="326">
        <v>0</v>
      </c>
      <c r="O19" s="326">
        <v>0</v>
      </c>
      <c r="P19" s="327">
        <f t="shared" si="11"/>
        <v>0</v>
      </c>
      <c r="Q19" s="631">
        <v>0</v>
      </c>
      <c r="R19" s="697">
        <v>0</v>
      </c>
    </row>
    <row r="20" spans="1:18" ht="14.95" thickBot="1" x14ac:dyDescent="0.3">
      <c r="I20" s="304" t="s">
        <v>34</v>
      </c>
      <c r="J20" s="326">
        <v>19</v>
      </c>
      <c r="K20" s="326">
        <v>0</v>
      </c>
      <c r="L20" s="326">
        <v>10</v>
      </c>
      <c r="M20" s="326">
        <v>0</v>
      </c>
      <c r="N20" s="326">
        <v>0</v>
      </c>
      <c r="O20" s="326">
        <v>0</v>
      </c>
      <c r="P20" s="327">
        <f t="shared" si="11"/>
        <v>10</v>
      </c>
      <c r="Q20" s="336">
        <f t="shared" ref="Q20" si="12">SUM(J20/P20)*10</f>
        <v>19</v>
      </c>
      <c r="R20" s="700">
        <f t="shared" ref="R20" si="13">SUM(K20/P20)*10</f>
        <v>0</v>
      </c>
    </row>
    <row r="21" spans="1:18" ht="14.95" thickBot="1" x14ac:dyDescent="0.3">
      <c r="I21" s="639" t="s">
        <v>38</v>
      </c>
      <c r="J21" s="326">
        <v>0</v>
      </c>
      <c r="K21" s="326">
        <v>0</v>
      </c>
      <c r="L21" s="326">
        <v>0</v>
      </c>
      <c r="M21" s="326">
        <v>0</v>
      </c>
      <c r="N21" s="326">
        <v>0</v>
      </c>
      <c r="O21" s="326">
        <v>0</v>
      </c>
      <c r="P21" s="327">
        <f t="shared" si="11"/>
        <v>0</v>
      </c>
      <c r="Q21" s="631">
        <v>0</v>
      </c>
      <c r="R21" s="697">
        <v>0</v>
      </c>
    </row>
    <row r="22" spans="1:18" ht="14.95" thickBot="1" x14ac:dyDescent="0.3">
      <c r="I22" s="59" t="s">
        <v>39</v>
      </c>
      <c r="J22" s="326">
        <v>5</v>
      </c>
      <c r="K22" s="326">
        <v>0</v>
      </c>
      <c r="L22" s="326">
        <v>10</v>
      </c>
      <c r="M22" s="326">
        <v>0</v>
      </c>
      <c r="N22" s="326">
        <v>0</v>
      </c>
      <c r="O22" s="326">
        <v>0</v>
      </c>
      <c r="P22" s="327">
        <f t="shared" si="11"/>
        <v>10</v>
      </c>
      <c r="Q22" s="336">
        <f t="shared" ref="Q22" si="14">SUM(J22/P22)*10</f>
        <v>5</v>
      </c>
      <c r="R22" s="700">
        <f t="shared" ref="R22" si="15">SUM(K22/P22)*10</f>
        <v>0</v>
      </c>
    </row>
    <row r="23" spans="1:18" ht="14.95" thickBot="1" x14ac:dyDescent="0.3">
      <c r="I23" s="353" t="s">
        <v>33</v>
      </c>
      <c r="J23" s="326">
        <v>5</v>
      </c>
      <c r="K23" s="326">
        <v>3</v>
      </c>
      <c r="L23" s="326">
        <v>10</v>
      </c>
      <c r="M23" s="326">
        <v>0</v>
      </c>
      <c r="N23" s="326">
        <v>0</v>
      </c>
      <c r="O23" s="326">
        <v>0</v>
      </c>
      <c r="P23" s="327">
        <f t="shared" si="11"/>
        <v>10</v>
      </c>
      <c r="Q23" s="336">
        <f t="shared" ref="Q23" si="16">SUM(J23/P23)*10</f>
        <v>5</v>
      </c>
      <c r="R23" s="700">
        <f t="shared" ref="R23" si="17">SUM(K23/P23)*10</f>
        <v>3</v>
      </c>
    </row>
    <row r="24" spans="1:18" ht="14.95" thickBot="1" x14ac:dyDescent="0.3">
      <c r="I24" s="121" t="s">
        <v>35</v>
      </c>
      <c r="J24" s="326">
        <v>0</v>
      </c>
      <c r="K24" s="326">
        <v>0</v>
      </c>
      <c r="L24" s="326">
        <v>0</v>
      </c>
      <c r="M24" s="326">
        <v>0</v>
      </c>
      <c r="N24" s="326">
        <v>0</v>
      </c>
      <c r="O24" s="326">
        <v>0</v>
      </c>
      <c r="P24" s="327">
        <f t="shared" si="11"/>
        <v>0</v>
      </c>
      <c r="Q24" s="631">
        <v>0</v>
      </c>
      <c r="R24" s="697">
        <v>0</v>
      </c>
    </row>
    <row r="25" spans="1:18" ht="14.95" thickBot="1" x14ac:dyDescent="0.3">
      <c r="I25" s="9" t="s">
        <v>32</v>
      </c>
      <c r="J25" s="326">
        <v>0</v>
      </c>
      <c r="K25" s="326">
        <v>0</v>
      </c>
      <c r="L25" s="326">
        <v>10</v>
      </c>
      <c r="M25" s="326">
        <v>0</v>
      </c>
      <c r="N25" s="326">
        <v>0</v>
      </c>
      <c r="O25" s="326">
        <v>0</v>
      </c>
      <c r="P25" s="327">
        <f t="shared" si="11"/>
        <v>10</v>
      </c>
      <c r="Q25" s="328">
        <f t="shared" ref="Q25:Q26" si="18">SUM(J25/P25)*10</f>
        <v>0</v>
      </c>
      <c r="R25" s="329">
        <f t="shared" ref="R25:R26" si="19">SUM(K25/P25)*10</f>
        <v>0</v>
      </c>
    </row>
    <row r="26" spans="1:18" ht="14.95" thickBot="1" x14ac:dyDescent="0.3">
      <c r="I26" s="335" t="s">
        <v>57</v>
      </c>
      <c r="J26" s="330">
        <f t="shared" ref="J26:P26" si="20">SUM(J18:J25)</f>
        <v>29</v>
      </c>
      <c r="K26" s="331">
        <f t="shared" si="20"/>
        <v>3</v>
      </c>
      <c r="L26" s="330">
        <f t="shared" si="20"/>
        <v>40</v>
      </c>
      <c r="M26" s="332">
        <f t="shared" si="20"/>
        <v>0</v>
      </c>
      <c r="N26" s="332">
        <f t="shared" si="20"/>
        <v>0</v>
      </c>
      <c r="O26" s="332">
        <f t="shared" si="20"/>
        <v>0</v>
      </c>
      <c r="P26" s="331">
        <f t="shared" si="20"/>
        <v>40</v>
      </c>
      <c r="Q26" s="333">
        <f t="shared" si="18"/>
        <v>7.25</v>
      </c>
      <c r="R26" s="334">
        <f t="shared" si="19"/>
        <v>0.75</v>
      </c>
    </row>
    <row r="27" spans="1:18" x14ac:dyDescent="0.25">
      <c r="I27" t="s">
        <v>58</v>
      </c>
    </row>
    <row r="28" spans="1:18" x14ac:dyDescent="0.25">
      <c r="I28" s="249" t="s">
        <v>277</v>
      </c>
      <c r="J28" s="249"/>
      <c r="K28" s="249"/>
      <c r="L28" s="249"/>
    </row>
    <row r="29" spans="1:18" x14ac:dyDescent="0.25">
      <c r="I29" t="s">
        <v>493</v>
      </c>
    </row>
  </sheetData>
  <sortState xmlns:xlrd2="http://schemas.microsoft.com/office/spreadsheetml/2017/richdata2" ref="A3:F10">
    <sortCondition ref="F3:F10"/>
    <sortCondition ref="A3:A10"/>
  </sortState>
  <mergeCells count="12">
    <mergeCell ref="A14:D14"/>
    <mergeCell ref="I16:I17"/>
    <mergeCell ref="J16:K16"/>
    <mergeCell ref="L16:P16"/>
    <mergeCell ref="Q16:R16"/>
    <mergeCell ref="A17:D17"/>
    <mergeCell ref="Q2:R2"/>
    <mergeCell ref="B2:C2"/>
    <mergeCell ref="D2:E2"/>
    <mergeCell ref="H2:H3"/>
    <mergeCell ref="I2:J2"/>
    <mergeCell ref="K2:O2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13"/>
  <sheetViews>
    <sheetView zoomScaleNormal="100" workbookViewId="0">
      <pane ySplit="2" topLeftCell="A3" activePane="bottomLeft" state="frozen"/>
      <selection pane="bottomLeft" activeCell="I17" sqref="I17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875" bestFit="1" customWidth="1"/>
    <col min="5" max="18" width="3.625" customWidth="1"/>
    <col min="19" max="20" width="6.375" customWidth="1"/>
    <col min="21" max="21" width="30.5" bestFit="1" customWidth="1"/>
    <col min="22" max="22" width="20.125" bestFit="1" customWidth="1"/>
    <col min="23" max="23" width="20.375" bestFit="1" customWidth="1"/>
    <col min="24" max="24" width="30.5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738" t="s">
        <v>370</v>
      </c>
      <c r="B1" s="739"/>
      <c r="C1" s="739"/>
      <c r="D1" s="216"/>
      <c r="E1" s="735" t="s">
        <v>24</v>
      </c>
      <c r="F1" s="737"/>
      <c r="G1" s="736"/>
      <c r="H1" s="735" t="s">
        <v>23</v>
      </c>
      <c r="I1" s="736"/>
      <c r="J1" s="740" t="s">
        <v>6</v>
      </c>
      <c r="K1" s="741"/>
      <c r="L1" s="741"/>
      <c r="M1" s="742"/>
      <c r="N1" s="740" t="s">
        <v>7</v>
      </c>
      <c r="O1" s="742"/>
      <c r="P1" s="740" t="s">
        <v>25</v>
      </c>
      <c r="Q1" s="741"/>
      <c r="R1" s="742"/>
      <c r="S1" s="524" t="s">
        <v>8</v>
      </c>
      <c r="T1" s="524" t="s">
        <v>9</v>
      </c>
      <c r="U1" s="81" t="s">
        <v>10</v>
      </c>
      <c r="V1" s="80" t="s">
        <v>11</v>
      </c>
      <c r="W1" s="82" t="s">
        <v>26</v>
      </c>
      <c r="X1" s="168" t="s">
        <v>27</v>
      </c>
      <c r="Y1" s="746" t="s">
        <v>20</v>
      </c>
      <c r="Z1" s="747"/>
      <c r="AA1" s="747"/>
      <c r="AB1" s="748"/>
      <c r="AC1" s="746" t="s">
        <v>61</v>
      </c>
      <c r="AD1" s="747"/>
      <c r="AE1" s="747"/>
      <c r="AF1" s="748"/>
      <c r="AG1" s="746" t="s">
        <v>62</v>
      </c>
      <c r="AH1" s="747"/>
      <c r="AI1" s="747"/>
      <c r="AJ1" s="748"/>
      <c r="AK1" s="749" t="s">
        <v>63</v>
      </c>
      <c r="AL1" s="750"/>
      <c r="AM1" s="750"/>
      <c r="AN1" s="750"/>
      <c r="AP1" s="505" t="s">
        <v>180</v>
      </c>
      <c r="AQ1" s="14"/>
      <c r="AS1" s="505" t="s">
        <v>180</v>
      </c>
    </row>
    <row r="2" spans="1:46" ht="14.95" customHeight="1" thickBot="1" x14ac:dyDescent="0.3">
      <c r="A2" s="83" t="s">
        <v>19</v>
      </c>
      <c r="B2" s="84" t="s">
        <v>18</v>
      </c>
      <c r="C2" s="85" t="s">
        <v>17</v>
      </c>
      <c r="D2" s="86" t="s">
        <v>41</v>
      </c>
      <c r="E2" s="86" t="s">
        <v>16</v>
      </c>
      <c r="F2" s="86" t="s">
        <v>4</v>
      </c>
      <c r="G2" s="86" t="s">
        <v>5</v>
      </c>
      <c r="H2" s="87" t="s">
        <v>12</v>
      </c>
      <c r="I2" s="87" t="s">
        <v>3</v>
      </c>
      <c r="J2" s="87" t="s">
        <v>12</v>
      </c>
      <c r="K2" s="87" t="s">
        <v>13</v>
      </c>
      <c r="L2" s="87" t="s">
        <v>2</v>
      </c>
      <c r="M2" s="87" t="s">
        <v>14</v>
      </c>
      <c r="N2" s="87" t="s">
        <v>15</v>
      </c>
      <c r="O2" s="87" t="s">
        <v>16</v>
      </c>
      <c r="P2" s="87" t="s">
        <v>21</v>
      </c>
      <c r="Q2" s="87" t="s">
        <v>22</v>
      </c>
      <c r="R2" s="87" t="s">
        <v>12</v>
      </c>
      <c r="S2" s="88"/>
      <c r="T2" s="217"/>
      <c r="U2" s="89"/>
      <c r="V2" s="88"/>
      <c r="W2" s="90"/>
      <c r="X2" s="91"/>
      <c r="Y2" s="434" t="s">
        <v>0</v>
      </c>
      <c r="Z2" s="434" t="s">
        <v>1</v>
      </c>
      <c r="AA2" s="434" t="s">
        <v>2</v>
      </c>
      <c r="AB2" s="434" t="s">
        <v>3</v>
      </c>
      <c r="AC2" s="434" t="s">
        <v>0</v>
      </c>
      <c r="AD2" s="434" t="s">
        <v>1</v>
      </c>
      <c r="AE2" s="434" t="s">
        <v>2</v>
      </c>
      <c r="AF2" s="434" t="s">
        <v>3</v>
      </c>
      <c r="AG2" s="434" t="s">
        <v>0</v>
      </c>
      <c r="AH2" s="434" t="s">
        <v>1</v>
      </c>
      <c r="AI2" s="434" t="s">
        <v>2</v>
      </c>
      <c r="AJ2" s="434" t="s">
        <v>3</v>
      </c>
      <c r="AK2" s="434" t="s">
        <v>0</v>
      </c>
      <c r="AL2" s="434" t="s">
        <v>1</v>
      </c>
      <c r="AM2" s="434" t="s">
        <v>2</v>
      </c>
      <c r="AN2" s="434" t="s">
        <v>3</v>
      </c>
      <c r="AP2" s="481" t="s">
        <v>108</v>
      </c>
      <c r="AQ2" s="249"/>
      <c r="AS2" s="482" t="s">
        <v>167</v>
      </c>
      <c r="AT2" s="249"/>
    </row>
    <row r="3" spans="1:46" ht="14.95" customHeight="1" thickBot="1" x14ac:dyDescent="0.35">
      <c r="A3" s="676">
        <v>44149</v>
      </c>
      <c r="B3" s="677" t="s">
        <v>446</v>
      </c>
      <c r="C3" s="677" t="s">
        <v>120</v>
      </c>
      <c r="D3" s="677" t="s">
        <v>352</v>
      </c>
      <c r="E3" s="678" t="s">
        <v>1</v>
      </c>
      <c r="F3" s="678">
        <v>25</v>
      </c>
      <c r="G3" s="678">
        <v>15</v>
      </c>
      <c r="H3" s="678">
        <v>0</v>
      </c>
      <c r="I3" s="678">
        <v>0</v>
      </c>
      <c r="J3" s="678">
        <v>1</v>
      </c>
      <c r="K3" s="678">
        <v>1</v>
      </c>
      <c r="L3" s="678">
        <v>0</v>
      </c>
      <c r="M3" s="678">
        <v>6</v>
      </c>
      <c r="N3" s="678">
        <v>0</v>
      </c>
      <c r="O3" s="678">
        <v>0</v>
      </c>
      <c r="P3" s="678">
        <v>0</v>
      </c>
      <c r="Q3" s="678">
        <v>0</v>
      </c>
      <c r="R3" s="678">
        <v>2</v>
      </c>
      <c r="S3" s="679">
        <v>9063</v>
      </c>
      <c r="T3" s="688" t="s">
        <v>455</v>
      </c>
      <c r="U3" s="681" t="s">
        <v>151</v>
      </c>
      <c r="V3" s="679" t="s">
        <v>150</v>
      </c>
      <c r="W3" s="682" t="s">
        <v>404</v>
      </c>
      <c r="X3" s="683" t="s">
        <v>149</v>
      </c>
      <c r="Y3" s="684">
        <v>1</v>
      </c>
      <c r="Z3" s="684">
        <v>1</v>
      </c>
      <c r="AA3" s="684">
        <v>0</v>
      </c>
      <c r="AB3" s="685">
        <v>0</v>
      </c>
      <c r="AC3" s="684">
        <v>0</v>
      </c>
      <c r="AD3" s="684">
        <v>0</v>
      </c>
      <c r="AE3" s="684">
        <v>0</v>
      </c>
      <c r="AF3" s="685">
        <v>0</v>
      </c>
      <c r="AG3" s="684">
        <v>0</v>
      </c>
      <c r="AH3" s="684">
        <v>0</v>
      </c>
      <c r="AI3" s="684">
        <v>0</v>
      </c>
      <c r="AJ3" s="685">
        <v>0</v>
      </c>
      <c r="AK3" s="684">
        <v>1</v>
      </c>
      <c r="AL3" s="684">
        <v>1</v>
      </c>
      <c r="AM3" s="684">
        <v>0</v>
      </c>
      <c r="AN3" s="685">
        <v>0</v>
      </c>
      <c r="AP3" s="501" t="s">
        <v>170</v>
      </c>
      <c r="AQ3" s="502">
        <f>Argentinaalltestsplayed</f>
        <v>453</v>
      </c>
      <c r="AS3" s="501" t="s">
        <v>170</v>
      </c>
      <c r="AT3" s="502">
        <f>ArgentinaWChistplayed</f>
        <v>41</v>
      </c>
    </row>
    <row r="4" spans="1:46" ht="14.95" customHeight="1" thickBot="1" x14ac:dyDescent="0.3">
      <c r="A4" s="183">
        <v>44156</v>
      </c>
      <c r="B4" s="174" t="s">
        <v>446</v>
      </c>
      <c r="C4" s="174" t="s">
        <v>29</v>
      </c>
      <c r="D4" s="174" t="s">
        <v>350</v>
      </c>
      <c r="E4" s="175" t="s">
        <v>2</v>
      </c>
      <c r="F4" s="175">
        <v>15</v>
      </c>
      <c r="G4" s="175">
        <v>15</v>
      </c>
      <c r="H4" s="175">
        <v>0</v>
      </c>
      <c r="I4" s="175">
        <v>0</v>
      </c>
      <c r="J4" s="175">
        <v>0</v>
      </c>
      <c r="K4" s="175">
        <v>0</v>
      </c>
      <c r="L4" s="175">
        <v>0</v>
      </c>
      <c r="M4" s="175">
        <v>5</v>
      </c>
      <c r="N4" s="175">
        <v>1</v>
      </c>
      <c r="O4" s="175">
        <v>0</v>
      </c>
      <c r="P4" s="175">
        <v>0</v>
      </c>
      <c r="Q4" s="175">
        <v>0</v>
      </c>
      <c r="R4" s="175">
        <v>0</v>
      </c>
      <c r="S4" s="176">
        <v>12000</v>
      </c>
      <c r="T4" s="219" t="s">
        <v>470</v>
      </c>
      <c r="U4" s="177" t="s">
        <v>149</v>
      </c>
      <c r="V4" s="176" t="s">
        <v>404</v>
      </c>
      <c r="W4" s="178" t="s">
        <v>150</v>
      </c>
      <c r="X4" s="179" t="s">
        <v>151</v>
      </c>
      <c r="Y4" s="180">
        <v>1</v>
      </c>
      <c r="Z4" s="180">
        <v>0</v>
      </c>
      <c r="AA4" s="180">
        <v>1</v>
      </c>
      <c r="AB4" s="181">
        <v>0</v>
      </c>
      <c r="AC4" s="180">
        <v>0</v>
      </c>
      <c r="AD4" s="180">
        <v>0</v>
      </c>
      <c r="AE4" s="180">
        <v>0</v>
      </c>
      <c r="AF4" s="181">
        <v>0</v>
      </c>
      <c r="AG4" s="180">
        <v>1</v>
      </c>
      <c r="AH4" s="180">
        <v>0</v>
      </c>
      <c r="AI4" s="180">
        <v>1</v>
      </c>
      <c r="AJ4" s="181">
        <v>0</v>
      </c>
      <c r="AK4" s="180">
        <v>0</v>
      </c>
      <c r="AL4" s="180">
        <v>0</v>
      </c>
      <c r="AM4" s="180">
        <v>0</v>
      </c>
      <c r="AN4" s="181">
        <v>0</v>
      </c>
      <c r="AP4" s="503" t="s">
        <v>171</v>
      </c>
      <c r="AQ4" s="504">
        <f>Argentinaalltestswon</f>
        <v>230</v>
      </c>
      <c r="AS4" s="503" t="s">
        <v>171</v>
      </c>
      <c r="AT4" s="504">
        <f>ArgentinaWChistwon</f>
        <v>21</v>
      </c>
    </row>
    <row r="5" spans="1:46" ht="14.95" customHeight="1" thickBot="1" x14ac:dyDescent="0.3">
      <c r="A5" s="676">
        <v>44163</v>
      </c>
      <c r="B5" s="686" t="s">
        <v>446</v>
      </c>
      <c r="C5" s="677" t="s">
        <v>120</v>
      </c>
      <c r="D5" s="687" t="s">
        <v>350</v>
      </c>
      <c r="E5" s="678" t="s">
        <v>3</v>
      </c>
      <c r="F5" s="678">
        <v>0</v>
      </c>
      <c r="G5" s="678">
        <v>38</v>
      </c>
      <c r="H5" s="678">
        <v>0</v>
      </c>
      <c r="I5" s="678">
        <v>0</v>
      </c>
      <c r="J5" s="678">
        <v>0</v>
      </c>
      <c r="K5" s="678">
        <v>0</v>
      </c>
      <c r="L5" s="678">
        <v>0</v>
      </c>
      <c r="M5" s="678">
        <v>0</v>
      </c>
      <c r="N5" s="678">
        <v>0</v>
      </c>
      <c r="O5" s="678">
        <v>0</v>
      </c>
      <c r="P5" s="678">
        <v>1</v>
      </c>
      <c r="Q5" s="678">
        <v>0</v>
      </c>
      <c r="R5" s="678">
        <v>5</v>
      </c>
      <c r="S5" s="679">
        <v>10104</v>
      </c>
      <c r="T5" s="680" t="s">
        <v>482</v>
      </c>
      <c r="U5" s="681" t="s">
        <v>486</v>
      </c>
      <c r="V5" s="679" t="s">
        <v>149</v>
      </c>
      <c r="W5" s="682" t="s">
        <v>151</v>
      </c>
      <c r="X5" s="683" t="s">
        <v>150</v>
      </c>
      <c r="Y5" s="684">
        <v>1</v>
      </c>
      <c r="Z5" s="684">
        <v>0</v>
      </c>
      <c r="AA5" s="684">
        <v>0</v>
      </c>
      <c r="AB5" s="685">
        <v>1</v>
      </c>
      <c r="AC5" s="684">
        <v>0</v>
      </c>
      <c r="AD5" s="684">
        <v>0</v>
      </c>
      <c r="AE5" s="684">
        <v>0</v>
      </c>
      <c r="AF5" s="685">
        <v>0</v>
      </c>
      <c r="AG5" s="684">
        <v>0</v>
      </c>
      <c r="AH5" s="684">
        <v>0</v>
      </c>
      <c r="AI5" s="684">
        <v>0</v>
      </c>
      <c r="AJ5" s="685">
        <v>0</v>
      </c>
      <c r="AK5" s="684">
        <v>1</v>
      </c>
      <c r="AL5" s="684">
        <v>0</v>
      </c>
      <c r="AM5" s="684">
        <v>0</v>
      </c>
      <c r="AN5" s="685">
        <v>1</v>
      </c>
      <c r="AP5" s="503" t="s">
        <v>177</v>
      </c>
      <c r="AQ5" s="504">
        <f>Argentinaalltestsdrawn</f>
        <v>12</v>
      </c>
      <c r="AS5" s="503" t="s">
        <v>177</v>
      </c>
      <c r="AT5" s="504">
        <f>ArgentinaWChistdrawn</f>
        <v>0</v>
      </c>
    </row>
    <row r="6" spans="1:46" ht="14.95" customHeight="1" thickBot="1" x14ac:dyDescent="0.35">
      <c r="A6" s="183">
        <v>44170</v>
      </c>
      <c r="B6" s="174" t="s">
        <v>446</v>
      </c>
      <c r="C6" s="174" t="s">
        <v>29</v>
      </c>
      <c r="D6" s="188" t="s">
        <v>352</v>
      </c>
      <c r="E6" s="175" t="s">
        <v>2</v>
      </c>
      <c r="F6" s="175">
        <v>16</v>
      </c>
      <c r="G6" s="175">
        <v>16</v>
      </c>
      <c r="H6" s="175">
        <v>0</v>
      </c>
      <c r="I6" s="175">
        <v>0</v>
      </c>
      <c r="J6" s="175">
        <v>1</v>
      </c>
      <c r="K6" s="175">
        <v>1</v>
      </c>
      <c r="L6" s="175">
        <v>0</v>
      </c>
      <c r="M6" s="175">
        <v>2</v>
      </c>
      <c r="N6" s="175">
        <v>2</v>
      </c>
      <c r="O6" s="175">
        <v>0</v>
      </c>
      <c r="P6" s="175">
        <v>0</v>
      </c>
      <c r="Q6" s="175">
        <v>0</v>
      </c>
      <c r="R6" s="175">
        <v>1</v>
      </c>
      <c r="S6" s="178">
        <v>10000</v>
      </c>
      <c r="T6" s="702" t="s">
        <v>500</v>
      </c>
      <c r="U6" s="190" t="s">
        <v>151</v>
      </c>
      <c r="V6" s="178" t="s">
        <v>498</v>
      </c>
      <c r="W6" s="178" t="s">
        <v>404</v>
      </c>
      <c r="X6" s="196" t="s">
        <v>499</v>
      </c>
      <c r="Y6" s="180">
        <v>1</v>
      </c>
      <c r="Z6" s="180">
        <v>0</v>
      </c>
      <c r="AA6" s="180">
        <v>1</v>
      </c>
      <c r="AB6" s="181">
        <v>0</v>
      </c>
      <c r="AC6" s="180">
        <v>0</v>
      </c>
      <c r="AD6" s="180">
        <v>0</v>
      </c>
      <c r="AE6" s="180">
        <v>0</v>
      </c>
      <c r="AF6" s="181">
        <v>0</v>
      </c>
      <c r="AG6" s="180">
        <v>1</v>
      </c>
      <c r="AH6" s="180">
        <v>0</v>
      </c>
      <c r="AI6" s="180">
        <v>1</v>
      </c>
      <c r="AJ6" s="181">
        <v>0</v>
      </c>
      <c r="AK6" s="180">
        <v>0</v>
      </c>
      <c r="AL6" s="180">
        <v>0</v>
      </c>
      <c r="AM6" s="180">
        <v>0</v>
      </c>
      <c r="AN6" s="181">
        <v>0</v>
      </c>
      <c r="AP6" s="503" t="s">
        <v>172</v>
      </c>
      <c r="AQ6" s="504">
        <f>Argentinaalltestslost</f>
        <v>211</v>
      </c>
      <c r="AS6" s="503" t="s">
        <v>172</v>
      </c>
      <c r="AT6" s="504">
        <f>ArgentinaWChistlost</f>
        <v>20</v>
      </c>
    </row>
    <row r="7" spans="1:46" ht="14.95" customHeight="1" thickBot="1" x14ac:dyDescent="0.3">
      <c r="A7" s="387"/>
      <c r="B7" s="388"/>
      <c r="C7" s="743" t="s">
        <v>447</v>
      </c>
      <c r="D7" s="744"/>
      <c r="E7" s="745"/>
      <c r="F7" s="414">
        <f>SUM(F3:F6)</f>
        <v>56</v>
      </c>
      <c r="G7" s="414">
        <f t="shared" ref="G7:R7" si="0">SUM(G3:G6)</f>
        <v>84</v>
      </c>
      <c r="H7" s="414">
        <f t="shared" si="0"/>
        <v>0</v>
      </c>
      <c r="I7" s="414">
        <f t="shared" si="0"/>
        <v>0</v>
      </c>
      <c r="J7" s="414">
        <f t="shared" si="0"/>
        <v>2</v>
      </c>
      <c r="K7" s="414">
        <f t="shared" si="0"/>
        <v>2</v>
      </c>
      <c r="L7" s="414">
        <f t="shared" si="0"/>
        <v>0</v>
      </c>
      <c r="M7" s="414">
        <f t="shared" si="0"/>
        <v>13</v>
      </c>
      <c r="N7" s="414">
        <f t="shared" si="0"/>
        <v>3</v>
      </c>
      <c r="O7" s="414">
        <f t="shared" si="0"/>
        <v>0</v>
      </c>
      <c r="P7" s="414">
        <f t="shared" si="0"/>
        <v>1</v>
      </c>
      <c r="Q7" s="414">
        <f t="shared" si="0"/>
        <v>0</v>
      </c>
      <c r="R7" s="414">
        <f t="shared" si="0"/>
        <v>8</v>
      </c>
      <c r="S7" s="410"/>
      <c r="T7" s="410"/>
      <c r="U7" s="410"/>
      <c r="V7" s="410"/>
      <c r="W7" s="411"/>
      <c r="X7" s="594" t="s">
        <v>447</v>
      </c>
      <c r="Y7" s="597">
        <f t="shared" ref="Y7:AN7" si="1">SUM(Y3:Y6)</f>
        <v>4</v>
      </c>
      <c r="Z7" s="414">
        <f t="shared" si="1"/>
        <v>1</v>
      </c>
      <c r="AA7" s="414">
        <f t="shared" si="1"/>
        <v>2</v>
      </c>
      <c r="AB7" s="414">
        <f t="shared" si="1"/>
        <v>1</v>
      </c>
      <c r="AC7" s="412">
        <f t="shared" si="1"/>
        <v>0</v>
      </c>
      <c r="AD7" s="412">
        <f t="shared" si="1"/>
        <v>0</v>
      </c>
      <c r="AE7" s="412">
        <f t="shared" si="1"/>
        <v>0</v>
      </c>
      <c r="AF7" s="412">
        <f t="shared" si="1"/>
        <v>0</v>
      </c>
      <c r="AG7" s="413">
        <f t="shared" si="1"/>
        <v>2</v>
      </c>
      <c r="AH7" s="413">
        <f t="shared" si="1"/>
        <v>0</v>
      </c>
      <c r="AI7" s="413">
        <f t="shared" si="1"/>
        <v>2</v>
      </c>
      <c r="AJ7" s="413">
        <f t="shared" si="1"/>
        <v>0</v>
      </c>
      <c r="AK7" s="414">
        <f t="shared" si="1"/>
        <v>2</v>
      </c>
      <c r="AL7" s="414">
        <f t="shared" si="1"/>
        <v>1</v>
      </c>
      <c r="AM7" s="414">
        <f t="shared" si="1"/>
        <v>0</v>
      </c>
      <c r="AN7" s="414">
        <f t="shared" si="1"/>
        <v>1</v>
      </c>
      <c r="AP7" s="503" t="s">
        <v>178</v>
      </c>
      <c r="AQ7" s="504">
        <f>Argentinaalltestsptsscored</f>
        <v>12763</v>
      </c>
      <c r="AS7" s="503" t="s">
        <v>178</v>
      </c>
      <c r="AT7" s="504">
        <f>ArgentinaWChistptsscored</f>
        <v>1098</v>
      </c>
    </row>
    <row r="8" spans="1:46" ht="14.95" customHeight="1" thickBot="1" x14ac:dyDescent="0.3">
      <c r="A8" s="387"/>
      <c r="B8" s="388"/>
      <c r="C8" s="732" t="s">
        <v>108</v>
      </c>
      <c r="D8" s="733"/>
      <c r="E8" s="734"/>
      <c r="F8" s="552">
        <f t="shared" ref="F8:R8" si="2">SUM(F3:F6)</f>
        <v>56</v>
      </c>
      <c r="G8" s="552">
        <f t="shared" si="2"/>
        <v>84</v>
      </c>
      <c r="H8" s="552">
        <f t="shared" si="2"/>
        <v>0</v>
      </c>
      <c r="I8" s="552">
        <f t="shared" si="2"/>
        <v>0</v>
      </c>
      <c r="J8" s="552">
        <f t="shared" si="2"/>
        <v>2</v>
      </c>
      <c r="K8" s="552">
        <f t="shared" si="2"/>
        <v>2</v>
      </c>
      <c r="L8" s="552">
        <f t="shared" si="2"/>
        <v>0</v>
      </c>
      <c r="M8" s="552">
        <f t="shared" si="2"/>
        <v>13</v>
      </c>
      <c r="N8" s="552">
        <f t="shared" si="2"/>
        <v>3</v>
      </c>
      <c r="O8" s="552">
        <f t="shared" si="2"/>
        <v>0</v>
      </c>
      <c r="P8" s="552">
        <f t="shared" si="2"/>
        <v>1</v>
      </c>
      <c r="Q8" s="552">
        <f t="shared" si="2"/>
        <v>0</v>
      </c>
      <c r="R8" s="552">
        <f t="shared" si="2"/>
        <v>8</v>
      </c>
      <c r="S8" s="548"/>
      <c r="T8" s="548"/>
      <c r="U8" s="548"/>
      <c r="V8" s="548"/>
      <c r="W8" s="13"/>
      <c r="X8" s="596" t="s">
        <v>108</v>
      </c>
      <c r="Y8" s="600">
        <f t="shared" ref="Y8:AN8" si="3">SUM(Y3:Y6)</f>
        <v>4</v>
      </c>
      <c r="Z8" s="552">
        <f t="shared" si="3"/>
        <v>1</v>
      </c>
      <c r="AA8" s="552">
        <f t="shared" si="3"/>
        <v>2</v>
      </c>
      <c r="AB8" s="552">
        <f t="shared" si="3"/>
        <v>1</v>
      </c>
      <c r="AC8" s="550">
        <f t="shared" si="3"/>
        <v>0</v>
      </c>
      <c r="AD8" s="550">
        <f t="shared" si="3"/>
        <v>0</v>
      </c>
      <c r="AE8" s="550">
        <f t="shared" si="3"/>
        <v>0</v>
      </c>
      <c r="AF8" s="550">
        <f t="shared" si="3"/>
        <v>0</v>
      </c>
      <c r="AG8" s="551">
        <f t="shared" si="3"/>
        <v>2</v>
      </c>
      <c r="AH8" s="551">
        <f t="shared" si="3"/>
        <v>0</v>
      </c>
      <c r="AI8" s="551">
        <f t="shared" si="3"/>
        <v>2</v>
      </c>
      <c r="AJ8" s="551">
        <f t="shared" si="3"/>
        <v>0</v>
      </c>
      <c r="AK8" s="552">
        <f t="shared" si="3"/>
        <v>2</v>
      </c>
      <c r="AL8" s="552">
        <f t="shared" si="3"/>
        <v>1</v>
      </c>
      <c r="AM8" s="552">
        <f t="shared" si="3"/>
        <v>0</v>
      </c>
      <c r="AN8" s="552">
        <f t="shared" si="3"/>
        <v>1</v>
      </c>
      <c r="AP8" s="503" t="s">
        <v>179</v>
      </c>
      <c r="AQ8" s="504">
        <f>Argentinaalltestsptsagainst</f>
        <v>9266</v>
      </c>
      <c r="AS8" s="503" t="s">
        <v>179</v>
      </c>
      <c r="AT8" s="504">
        <f>ArgentinaWChistptsagainst</f>
        <v>839</v>
      </c>
    </row>
    <row r="9" spans="1:46" ht="14.95" customHeight="1" thickBot="1" x14ac:dyDescent="0.3">
      <c r="A9" t="s">
        <v>371</v>
      </c>
      <c r="AP9" s="503" t="s">
        <v>169</v>
      </c>
      <c r="AQ9" s="504">
        <f>Argentinaallteststriesscored</f>
        <v>1595</v>
      </c>
      <c r="AS9" s="503" t="s">
        <v>169</v>
      </c>
      <c r="AT9" s="504">
        <f>ArgentinaWChisttriesscored</f>
        <v>115</v>
      </c>
    </row>
    <row r="10" spans="1:46" x14ac:dyDescent="0.25">
      <c r="A10" s="156"/>
      <c r="B10" t="s">
        <v>44</v>
      </c>
    </row>
    <row r="11" spans="1:46" x14ac:dyDescent="0.25">
      <c r="A11" s="154"/>
      <c r="B11" t="s">
        <v>42</v>
      </c>
    </row>
    <row r="12" spans="1:46" x14ac:dyDescent="0.25">
      <c r="A12" s="155"/>
      <c r="B12" t="s">
        <v>43</v>
      </c>
    </row>
    <row r="13" spans="1:46" x14ac:dyDescent="0.25">
      <c r="A13" s="634" t="s">
        <v>28</v>
      </c>
    </row>
  </sheetData>
  <mergeCells count="12">
    <mergeCell ref="Y1:AB1"/>
    <mergeCell ref="AC1:AF1"/>
    <mergeCell ref="AG1:AJ1"/>
    <mergeCell ref="AK1:AN1"/>
    <mergeCell ref="N1:O1"/>
    <mergeCell ref="P1:R1"/>
    <mergeCell ref="C8:E8"/>
    <mergeCell ref="H1:I1"/>
    <mergeCell ref="E1:G1"/>
    <mergeCell ref="A1:C1"/>
    <mergeCell ref="J1:M1"/>
    <mergeCell ref="C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579</vt:i4>
      </vt:variant>
    </vt:vector>
  </HeadingPairs>
  <TitlesOfParts>
    <vt:vector size="608" baseType="lpstr">
      <vt:lpstr>Sum</vt:lpstr>
      <vt:lpstr>Results</vt:lpstr>
      <vt:lpstr>6N Tab</vt:lpstr>
      <vt:lpstr>6N Res</vt:lpstr>
      <vt:lpstr>6N Cds</vt:lpstr>
      <vt:lpstr>ANC Tab</vt:lpstr>
      <vt:lpstr>ANC Res</vt:lpstr>
      <vt:lpstr>ANC Cds</vt:lpstr>
      <vt:lpstr>ARG</vt:lpstr>
      <vt:lpstr>AUS</vt:lpstr>
      <vt:lpstr>CAN</vt:lpstr>
      <vt:lpstr>ENG</vt:lpstr>
      <vt:lpstr>FRA</vt:lpstr>
      <vt:lpstr>FIJ</vt:lpstr>
      <vt:lpstr>GEO</vt:lpstr>
      <vt:lpstr>IRE</vt:lpstr>
      <vt:lpstr>ITA</vt:lpstr>
      <vt:lpstr>JPN</vt:lpstr>
      <vt:lpstr>NAM</vt:lpstr>
      <vt:lpstr>NZL</vt:lpstr>
      <vt:lpstr>ROM</vt:lpstr>
      <vt:lpstr>RUS</vt:lpstr>
      <vt:lpstr>SAM</vt:lpstr>
      <vt:lpstr>SCO</vt:lpstr>
      <vt:lpstr>RSA</vt:lpstr>
      <vt:lpstr>TGA</vt:lpstr>
      <vt:lpstr>USA</vt:lpstr>
      <vt:lpstr>URU</vt:lpstr>
      <vt:lpstr>WAL</vt:lpstr>
      <vt:lpstr>alltestshistlost</vt:lpstr>
      <vt:lpstr>alltestshistwon</vt:lpstr>
      <vt:lpstr>arg2019dg</vt:lpstr>
      <vt:lpstr>arg2019drawn</vt:lpstr>
      <vt:lpstr>arg2019lost</vt:lpstr>
      <vt:lpstr>arg2019played</vt:lpstr>
      <vt:lpstr>arg2019ptsconc</vt:lpstr>
      <vt:lpstr>arg2019ptsscored</vt:lpstr>
      <vt:lpstr>arg2019triesconc</vt:lpstr>
      <vt:lpstr>arg2019triesscored</vt:lpstr>
      <vt:lpstr>arg2019won</vt:lpstr>
      <vt:lpstr>Argentinaalltestsdrawn</vt:lpstr>
      <vt:lpstr>Argentinaalltestslost</vt:lpstr>
      <vt:lpstr>Argentinaalltestsplayed</vt:lpstr>
      <vt:lpstr>Argentinaalltestsptsagainst</vt:lpstr>
      <vt:lpstr>Argentinaalltestsptsscored</vt:lpstr>
      <vt:lpstr>Argentinaallteststriesscored</vt:lpstr>
      <vt:lpstr>Argentinaalltestswon</vt:lpstr>
      <vt:lpstr>ArgentinaWChistdrawn</vt:lpstr>
      <vt:lpstr>ArgentinaWChistlost</vt:lpstr>
      <vt:lpstr>ArgentinaWChistplayed</vt:lpstr>
      <vt:lpstr>ArgentinaWChistptsagainst</vt:lpstr>
      <vt:lpstr>ArgentinaWChistptsscored</vt:lpstr>
      <vt:lpstr>ArgentinaWChisttriesscored</vt:lpstr>
      <vt:lpstr>ArgentinaWChistwon</vt:lpstr>
      <vt:lpstr>australiaalltests2019drawn</vt:lpstr>
      <vt:lpstr>australiaalltests2019lost</vt:lpstr>
      <vt:lpstr>australiaalltests2019played</vt:lpstr>
      <vt:lpstr>australiaalltests2019playedcorrect</vt:lpstr>
      <vt:lpstr>australiaalltests2019ptsagainst</vt:lpstr>
      <vt:lpstr>australiaalltests2019ptsscored</vt:lpstr>
      <vt:lpstr>australiaalltests2019triesconc</vt:lpstr>
      <vt:lpstr>australiaalltests2019triesscored</vt:lpstr>
      <vt:lpstr>australiaalltests2019won</vt:lpstr>
      <vt:lpstr>Australiaalltestshistdrawn</vt:lpstr>
      <vt:lpstr>Australiaalltestshistlost</vt:lpstr>
      <vt:lpstr>Australiaalltestshistplayed</vt:lpstr>
      <vt:lpstr>Australiaalltestshistptsagainst</vt:lpstr>
      <vt:lpstr>Australiaalltestshistptsscored</vt:lpstr>
      <vt:lpstr>Australiaalltestshisttriesscored</vt:lpstr>
      <vt:lpstr>Australiaalltestshistwon</vt:lpstr>
      <vt:lpstr>AustraliaWChistdrawn</vt:lpstr>
      <vt:lpstr>AustraliaWChistlost</vt:lpstr>
      <vt:lpstr>AustraliaWChistplayed</vt:lpstr>
      <vt:lpstr>AustraliaWChistptsagainst</vt:lpstr>
      <vt:lpstr>AustraliaWChistptsscored</vt:lpstr>
      <vt:lpstr>AustraliaWChisttriesscored</vt:lpstr>
      <vt:lpstr>AustraliaWChistwon</vt:lpstr>
      <vt:lpstr>can2019alltestsdrawn</vt:lpstr>
      <vt:lpstr>can2019alltestslost</vt:lpstr>
      <vt:lpstr>can2019alltestsplayed</vt:lpstr>
      <vt:lpstr>can2019alltestsptsagainst</vt:lpstr>
      <vt:lpstr>can2019alltestsptsscored</vt:lpstr>
      <vt:lpstr>can2019allteststriescon</vt:lpstr>
      <vt:lpstr>can2019allteststriesscored</vt:lpstr>
      <vt:lpstr>can2019alltestswon</vt:lpstr>
      <vt:lpstr>Canadaalltestshistdrawn</vt:lpstr>
      <vt:lpstr>Canadaalltestshistlost</vt:lpstr>
      <vt:lpstr>Canadaalltestshistplayed</vt:lpstr>
      <vt:lpstr>Canadaalltestshistptsagainst</vt:lpstr>
      <vt:lpstr>Canadaalltestshistptsscored</vt:lpstr>
      <vt:lpstr>Canadaalltestshisttriesscored</vt:lpstr>
      <vt:lpstr>Canadaalltestshistwon</vt:lpstr>
      <vt:lpstr>CanadaRWChistdrawn</vt:lpstr>
      <vt:lpstr>CanadaRWChistlost</vt:lpstr>
      <vt:lpstr>CanadaRWChistplayed</vt:lpstr>
      <vt:lpstr>CanadaRWChistptsagainst</vt:lpstr>
      <vt:lpstr>CanadaRWChistptsscored</vt:lpstr>
      <vt:lpstr>CanadaRWChisttriesscored</vt:lpstr>
      <vt:lpstr>CanadaRWChistwon</vt:lpstr>
      <vt:lpstr>drawn</vt:lpstr>
      <vt:lpstr>Eng2019alltestsdrawn</vt:lpstr>
      <vt:lpstr>Eng2019alltestslost</vt:lpstr>
      <vt:lpstr>Eng2019alltestsplayed</vt:lpstr>
      <vt:lpstr>Eng2019alltestsptsagainst</vt:lpstr>
      <vt:lpstr>Eng2019alltestsptsscored</vt:lpstr>
      <vt:lpstr>Eng2019allteststriescon</vt:lpstr>
      <vt:lpstr>Eng2019allteststriesscored</vt:lpstr>
      <vt:lpstr>Eng2019alltestswon</vt:lpstr>
      <vt:lpstr>Englandalltestshistdrawn</vt:lpstr>
      <vt:lpstr>Englandalltestshistlost</vt:lpstr>
      <vt:lpstr>Englandalltestshistplayed</vt:lpstr>
      <vt:lpstr>Englandalltestshistptsagainst</vt:lpstr>
      <vt:lpstr>Englandalltestshistptsscored</vt:lpstr>
      <vt:lpstr>Englandalltestshisttriesscored</vt:lpstr>
      <vt:lpstr>Englandalltestshistwon</vt:lpstr>
      <vt:lpstr>Englanddrawn</vt:lpstr>
      <vt:lpstr>Englandlosingbonus</vt:lpstr>
      <vt:lpstr>Englandlost</vt:lpstr>
      <vt:lpstr>Englandplayed</vt:lpstr>
      <vt:lpstr>Englandptsagainst</vt:lpstr>
      <vt:lpstr>Englandptsscored</vt:lpstr>
      <vt:lpstr>Englandred</vt:lpstr>
      <vt:lpstr>EnglandRWChistdrawn</vt:lpstr>
      <vt:lpstr>EnglandRWChistlost</vt:lpstr>
      <vt:lpstr>EnglandRWChistplayed</vt:lpstr>
      <vt:lpstr>EnglandRWChistptsagainst</vt:lpstr>
      <vt:lpstr>EnglandRWChistptsscored</vt:lpstr>
      <vt:lpstr>EnglandRWChisttriesscored</vt:lpstr>
      <vt:lpstr>EnglandRWChistwon</vt:lpstr>
      <vt:lpstr>Englandtriesagainst</vt:lpstr>
      <vt:lpstr>Englandtriesscored</vt:lpstr>
      <vt:lpstr>Englandtrybonus</vt:lpstr>
      <vt:lpstr>Englandwon</vt:lpstr>
      <vt:lpstr>Englandyellow</vt:lpstr>
      <vt:lpstr>Fij2019alltestsdrawn</vt:lpstr>
      <vt:lpstr>Fij2019alltestslost</vt:lpstr>
      <vt:lpstr>Fij2019alltestsplayed</vt:lpstr>
      <vt:lpstr>Fij2019alltestsptsagainst</vt:lpstr>
      <vt:lpstr>Fij2019alltestsptsscored</vt:lpstr>
      <vt:lpstr>Fij2019allteststriescon</vt:lpstr>
      <vt:lpstr>Fij2019allteststriesscored</vt:lpstr>
      <vt:lpstr>Fij2019alltestswon</vt:lpstr>
      <vt:lpstr>Fijialltestshistdrawn</vt:lpstr>
      <vt:lpstr>Fijialltestshistlost</vt:lpstr>
      <vt:lpstr>Fijialltestshistplayed</vt:lpstr>
      <vt:lpstr>Fijialltestshistptsagainst</vt:lpstr>
      <vt:lpstr>Fijialltestshistptsscored</vt:lpstr>
      <vt:lpstr>Fijialltestshisttriesscored</vt:lpstr>
      <vt:lpstr>Fijialltestshistwon</vt:lpstr>
      <vt:lpstr>FijiRWChistdrawn</vt:lpstr>
      <vt:lpstr>FijiRWChistlost</vt:lpstr>
      <vt:lpstr>FijiRWChistplayed</vt:lpstr>
      <vt:lpstr>FijiRWChistptsagainst</vt:lpstr>
      <vt:lpstr>FijiRWChistptsscored</vt:lpstr>
      <vt:lpstr>FijiRWChisttriesscored</vt:lpstr>
      <vt:lpstr>FijiRWChistwon</vt:lpstr>
      <vt:lpstr>Fra2019alltestsdrawn</vt:lpstr>
      <vt:lpstr>Fra2019alltestslost</vt:lpstr>
      <vt:lpstr>Fra2019alltestsplayed</vt:lpstr>
      <vt:lpstr>Fra2019alltestsptsagainst</vt:lpstr>
      <vt:lpstr>Fra2019alltestsptsscored</vt:lpstr>
      <vt:lpstr>Fra2019allteststriescon</vt:lpstr>
      <vt:lpstr>Fra2019allteststriesscored</vt:lpstr>
      <vt:lpstr>Fra2019alltestswon</vt:lpstr>
      <vt:lpstr>Fra2019pooldrawn</vt:lpstr>
      <vt:lpstr>Fra2019poollbcon</vt:lpstr>
      <vt:lpstr>Fra2019poollbscored</vt:lpstr>
      <vt:lpstr>Fra2019poollost</vt:lpstr>
      <vt:lpstr>Fra2019poolplayed</vt:lpstr>
      <vt:lpstr>Fra2019poolptsagainst</vt:lpstr>
      <vt:lpstr>Fra2019poolptsscored</vt:lpstr>
      <vt:lpstr>Fra2019pooltbcon</vt:lpstr>
      <vt:lpstr>Fra2019pooltbscored</vt:lpstr>
      <vt:lpstr>Fra2019pooltriescon</vt:lpstr>
      <vt:lpstr>Fra2019pooltriesscored</vt:lpstr>
      <vt:lpstr>Fra2019pooltriesscoredcorrect</vt:lpstr>
      <vt:lpstr>Fra2019poolwon</vt:lpstr>
      <vt:lpstr>Francealltestshistdrawn</vt:lpstr>
      <vt:lpstr>Francealltestshistlost</vt:lpstr>
      <vt:lpstr>Francealltestshistplayed</vt:lpstr>
      <vt:lpstr>Francealltestshistptscon</vt:lpstr>
      <vt:lpstr>Francealltestshistptsscored</vt:lpstr>
      <vt:lpstr>Francealltestshisttriesscored</vt:lpstr>
      <vt:lpstr>Francealltestshistwon</vt:lpstr>
      <vt:lpstr>Francedrawn</vt:lpstr>
      <vt:lpstr>Francelosingbonus</vt:lpstr>
      <vt:lpstr>Francelost</vt:lpstr>
      <vt:lpstr>Franceplayed</vt:lpstr>
      <vt:lpstr>Franceptsagainst</vt:lpstr>
      <vt:lpstr>Franceptsscored</vt:lpstr>
      <vt:lpstr>Francered</vt:lpstr>
      <vt:lpstr>FranceRWChistdrawn</vt:lpstr>
      <vt:lpstr>FranceRWChistlost</vt:lpstr>
      <vt:lpstr>FranceRWChistplayed</vt:lpstr>
      <vt:lpstr>FranceRWChistptsagainst</vt:lpstr>
      <vt:lpstr>FranceRWChistptsscored</vt:lpstr>
      <vt:lpstr>FranceRWChisttriesscored</vt:lpstr>
      <vt:lpstr>FranceRWChistwon</vt:lpstr>
      <vt:lpstr>Francetriesagainst</vt:lpstr>
      <vt:lpstr>Francetriesscored</vt:lpstr>
      <vt:lpstr>Francetrybonus</vt:lpstr>
      <vt:lpstr>Francewon</vt:lpstr>
      <vt:lpstr>FRanceyellow</vt:lpstr>
      <vt:lpstr>Geo2019alltestsdrawn</vt:lpstr>
      <vt:lpstr>Geo2019alltestslost</vt:lpstr>
      <vt:lpstr>Geo2019alltestsplayed</vt:lpstr>
      <vt:lpstr>Geo2019alltestsptsagainst</vt:lpstr>
      <vt:lpstr>Geo2019alltestsptsscored</vt:lpstr>
      <vt:lpstr>Geo2019allteststriesconceded</vt:lpstr>
      <vt:lpstr>Geo2019allteststriesscored</vt:lpstr>
      <vt:lpstr>Geo2019alltestswon</vt:lpstr>
      <vt:lpstr>Georgiaalltestshistdrawn</vt:lpstr>
      <vt:lpstr>Georgiaalltestshistlost</vt:lpstr>
      <vt:lpstr>Georgiaalltestshistplayed</vt:lpstr>
      <vt:lpstr>Georgiaalltestshistptsagainst</vt:lpstr>
      <vt:lpstr>Georgiaalltestshistptsscored</vt:lpstr>
      <vt:lpstr>Georgiaalltestshisttriesscored</vt:lpstr>
      <vt:lpstr>Georgiaalltestshistwon</vt:lpstr>
      <vt:lpstr>GeorgiaRWChistdrawn</vt:lpstr>
      <vt:lpstr>GeorgiaRWChistlost</vt:lpstr>
      <vt:lpstr>GeorgiaRWChistplayed</vt:lpstr>
      <vt:lpstr>GeorgiaRWChistptsagainst</vt:lpstr>
      <vt:lpstr>GeorgiaRWChistptsscored</vt:lpstr>
      <vt:lpstr>GeorgiaRWChisttriesscored</vt:lpstr>
      <vt:lpstr>GeorgiaRWChistwon</vt:lpstr>
      <vt:lpstr>Ire2019alltestsdrawn</vt:lpstr>
      <vt:lpstr>Ire2019alltestslost</vt:lpstr>
      <vt:lpstr>Ire2019alltestsplayed</vt:lpstr>
      <vt:lpstr>Ire2019alltestsptscon</vt:lpstr>
      <vt:lpstr>Ire2019alltestsptsscored</vt:lpstr>
      <vt:lpstr>Ire2019allteststriescon</vt:lpstr>
      <vt:lpstr>Ire2019allteststriesscored</vt:lpstr>
      <vt:lpstr>Ire2019alltestswon</vt:lpstr>
      <vt:lpstr>Irelandalltestshistdrawn</vt:lpstr>
      <vt:lpstr>Irelandalltestshistlost</vt:lpstr>
      <vt:lpstr>Irelandalltestshistplayed</vt:lpstr>
      <vt:lpstr>Irelandalltestshistptsagainst</vt:lpstr>
      <vt:lpstr>Irelandalltestshistptsscored</vt:lpstr>
      <vt:lpstr>Irelandalltestshisttriesscored</vt:lpstr>
      <vt:lpstr>Irelandalltestshistwon</vt:lpstr>
      <vt:lpstr>Irelanddrawn</vt:lpstr>
      <vt:lpstr>Irelandlosingbonus</vt:lpstr>
      <vt:lpstr>Irelandlost</vt:lpstr>
      <vt:lpstr>Irelandplayed</vt:lpstr>
      <vt:lpstr>Irelandptsagainst</vt:lpstr>
      <vt:lpstr>Irelandptsscored</vt:lpstr>
      <vt:lpstr>Irelandred</vt:lpstr>
      <vt:lpstr>IrelandRWChistdrawn</vt:lpstr>
      <vt:lpstr>IrelandRWChistlost</vt:lpstr>
      <vt:lpstr>IrelandRWChistplayed</vt:lpstr>
      <vt:lpstr>IrelandRWChistptsagainst</vt:lpstr>
      <vt:lpstr>IrelandRWChistptsscored</vt:lpstr>
      <vt:lpstr>IrelandRWChisttriesscored</vt:lpstr>
      <vt:lpstr>IrelandRWChistwon</vt:lpstr>
      <vt:lpstr>Irelandtriesagainst</vt:lpstr>
      <vt:lpstr>Irelandtriesscored</vt:lpstr>
      <vt:lpstr>Irelandtrybonus</vt:lpstr>
      <vt:lpstr>Irelandwon</vt:lpstr>
      <vt:lpstr>Irelandyellow</vt:lpstr>
      <vt:lpstr>ita2019alltestsdrawn</vt:lpstr>
      <vt:lpstr>ita2019alltestslost</vt:lpstr>
      <vt:lpstr>ita2019alltestsplayed</vt:lpstr>
      <vt:lpstr>ita2019alltestsptscon</vt:lpstr>
      <vt:lpstr>ita2019alltestsptsscored</vt:lpstr>
      <vt:lpstr>ita2019allteststriescon</vt:lpstr>
      <vt:lpstr>ita2019allteststriesscored</vt:lpstr>
      <vt:lpstr>ita2019alltestswon</vt:lpstr>
      <vt:lpstr>Italyalltestshistdrawn</vt:lpstr>
      <vt:lpstr>Italyalltestshistlost</vt:lpstr>
      <vt:lpstr>Italyalltestshistplayed</vt:lpstr>
      <vt:lpstr>Italyalltestshistptsagainst</vt:lpstr>
      <vt:lpstr>Italyalltestshistptsscored</vt:lpstr>
      <vt:lpstr>Italyalltestshisttriesscored</vt:lpstr>
      <vt:lpstr>Italyalltestshistwon</vt:lpstr>
      <vt:lpstr>Italydrawn</vt:lpstr>
      <vt:lpstr>Italylosingbonus</vt:lpstr>
      <vt:lpstr>Italylost</vt:lpstr>
      <vt:lpstr>Italyplayed</vt:lpstr>
      <vt:lpstr>Italyptsagainst</vt:lpstr>
      <vt:lpstr>Italyptsscored</vt:lpstr>
      <vt:lpstr>Italyred</vt:lpstr>
      <vt:lpstr>ItalyRWChistdrawn</vt:lpstr>
      <vt:lpstr>ItalyRWChistlost</vt:lpstr>
      <vt:lpstr>ItalyRWChistplayed</vt:lpstr>
      <vt:lpstr>ItalyRWChistptsagainst</vt:lpstr>
      <vt:lpstr>ItalyRWChistptsscored</vt:lpstr>
      <vt:lpstr>ItalyRWChisttriesscored</vt:lpstr>
      <vt:lpstr>ItalyRWChistwon</vt:lpstr>
      <vt:lpstr>Italytriesagainst</vt:lpstr>
      <vt:lpstr>Italytriesscored</vt:lpstr>
      <vt:lpstr>Italytrybonus</vt:lpstr>
      <vt:lpstr>Italywon</vt:lpstr>
      <vt:lpstr>Italyyellow</vt:lpstr>
      <vt:lpstr>Japanalltestshistdrawn</vt:lpstr>
      <vt:lpstr>Japanalltestshistlost</vt:lpstr>
      <vt:lpstr>Japanalltestshistplayed</vt:lpstr>
      <vt:lpstr>Japanalltestshistptscon</vt:lpstr>
      <vt:lpstr>Japanalltestshistptsscored</vt:lpstr>
      <vt:lpstr>Japanalltestshisttriesscored</vt:lpstr>
      <vt:lpstr>Japanalltestshisttriesscoredcorrect</vt:lpstr>
      <vt:lpstr>Japanalltestshistwon</vt:lpstr>
      <vt:lpstr>JapanRWChistdrawn</vt:lpstr>
      <vt:lpstr>JapanRWChistlost</vt:lpstr>
      <vt:lpstr>JapanRWChistplayed</vt:lpstr>
      <vt:lpstr>JapanRWChistptsagainst</vt:lpstr>
      <vt:lpstr>JapanRWChistptsscored</vt:lpstr>
      <vt:lpstr>JapanRWChisttriesscored</vt:lpstr>
      <vt:lpstr>JapanRWChistwon</vt:lpstr>
      <vt:lpstr>jpn2019alltestsdrawn</vt:lpstr>
      <vt:lpstr>jpn2019alltestslost</vt:lpstr>
      <vt:lpstr>jpn2019alltestsplayed</vt:lpstr>
      <vt:lpstr>jpn2019alltestsptsagainst</vt:lpstr>
      <vt:lpstr>jpn2019alltestsptsscored</vt:lpstr>
      <vt:lpstr>jpn2019allteststriescon</vt:lpstr>
      <vt:lpstr>jpn2019allteststriesscored</vt:lpstr>
      <vt:lpstr>jpn2019alltestswon</vt:lpstr>
      <vt:lpstr>Nam2019alltestsdrawn</vt:lpstr>
      <vt:lpstr>Nam2019alltestslost</vt:lpstr>
      <vt:lpstr>Nam2019alltestsplayed</vt:lpstr>
      <vt:lpstr>Nam2019alltestsptscon</vt:lpstr>
      <vt:lpstr>Nam2019alltestsptsscored</vt:lpstr>
      <vt:lpstr>Nam2019allteststriescon</vt:lpstr>
      <vt:lpstr>Nam2019allteststriesscored</vt:lpstr>
      <vt:lpstr>Nam2019alltestswon</vt:lpstr>
      <vt:lpstr>Namibiaalltestshistdrawn</vt:lpstr>
      <vt:lpstr>Namibiaalltestshistlost</vt:lpstr>
      <vt:lpstr>Namibiaalltestshistplayed</vt:lpstr>
      <vt:lpstr>Namibiaalltestshistptscon</vt:lpstr>
      <vt:lpstr>Namibiaalltestshistptsscored</vt:lpstr>
      <vt:lpstr>Namibiaalltestshisttriesscored</vt:lpstr>
      <vt:lpstr>Namibiaalltestshistwon</vt:lpstr>
      <vt:lpstr>NamibiaRWChistdrawn</vt:lpstr>
      <vt:lpstr>NamibiaRWChistlost</vt:lpstr>
      <vt:lpstr>NamibiaRWChistplayed</vt:lpstr>
      <vt:lpstr>NamibiaRWChistptsagainst</vt:lpstr>
      <vt:lpstr>NamibiaRWChistptsscored</vt:lpstr>
      <vt:lpstr>NamibiaRWChisttriesscored</vt:lpstr>
      <vt:lpstr>NamibiaRWChistwon</vt:lpstr>
      <vt:lpstr>New_ZealandRWChistdrawn</vt:lpstr>
      <vt:lpstr>New_ZealandRWChistlost</vt:lpstr>
      <vt:lpstr>New_ZealandRWChistplayed</vt:lpstr>
      <vt:lpstr>New_ZealandRWChistptscon</vt:lpstr>
      <vt:lpstr>New_ZealandRWChistptsconcorrect</vt:lpstr>
      <vt:lpstr>New_ZealandRWChistptsscored</vt:lpstr>
      <vt:lpstr>New_ZealandRWChisttriesscored</vt:lpstr>
      <vt:lpstr>New_ZealandRWChistwon</vt:lpstr>
      <vt:lpstr>Nzl2019alltestsdrawn</vt:lpstr>
      <vt:lpstr>Nzl2019alltestshistdrawn</vt:lpstr>
      <vt:lpstr>Nzl2019alltestshistlost</vt:lpstr>
      <vt:lpstr>Nzl2019alltestshistplayed</vt:lpstr>
      <vt:lpstr>Nzl2019alltestshistptscon</vt:lpstr>
      <vt:lpstr>Nzl2019alltestshistptsscored</vt:lpstr>
      <vt:lpstr>Nzl2019alltestshisttriesscored</vt:lpstr>
      <vt:lpstr>Nzl2019alltestshistwon</vt:lpstr>
      <vt:lpstr>Nzl2019alltestslost</vt:lpstr>
      <vt:lpstr>Nzl2019alltestsplayed</vt:lpstr>
      <vt:lpstr>Nzl2019alltestsptscon</vt:lpstr>
      <vt:lpstr>Nzl2019alltestsptsscored</vt:lpstr>
      <vt:lpstr>Nzl2019allteststriescon</vt:lpstr>
      <vt:lpstr>Nzl2019allteststriesscored</vt:lpstr>
      <vt:lpstr>Nzl2019alltestswon</vt:lpstr>
      <vt:lpstr>romaniaalltestsdrawn</vt:lpstr>
      <vt:lpstr>romaniaalltestslost</vt:lpstr>
      <vt:lpstr>romaniaalltestsplayed</vt:lpstr>
      <vt:lpstr>romaniaalltestsptsagainst</vt:lpstr>
      <vt:lpstr>romaniaalltestsptsscored</vt:lpstr>
      <vt:lpstr>romaniaallteststriesagaiant</vt:lpstr>
      <vt:lpstr>romaniaallteststriesscored</vt:lpstr>
      <vt:lpstr>romaniaalltestswon</vt:lpstr>
      <vt:lpstr>Rsa2019alltestsdrawn</vt:lpstr>
      <vt:lpstr>Rsa2019alltestslost</vt:lpstr>
      <vt:lpstr>Rsa2019alltestsplayed</vt:lpstr>
      <vt:lpstr>Rsa2019alltestsptscon</vt:lpstr>
      <vt:lpstr>Rsa2019alltestsptsscored</vt:lpstr>
      <vt:lpstr>Rsa2019allteststriescon</vt:lpstr>
      <vt:lpstr>Rsa2019allteststriesscored</vt:lpstr>
      <vt:lpstr>Rsa2019alltestswon</vt:lpstr>
      <vt:lpstr>Rsaalltestshistdrawn</vt:lpstr>
      <vt:lpstr>Rsaalltestshistlost</vt:lpstr>
      <vt:lpstr>Rsaalltestshistplayed</vt:lpstr>
      <vt:lpstr>Rsaalltestshistptscon</vt:lpstr>
      <vt:lpstr>Rsaalltestshistptsscored</vt:lpstr>
      <vt:lpstr>Rsaalltestshisttriesscored</vt:lpstr>
      <vt:lpstr>Rsaalltestshistwon</vt:lpstr>
      <vt:lpstr>RsaRWChistdrawn</vt:lpstr>
      <vt:lpstr>RsaRWChistlost</vt:lpstr>
      <vt:lpstr>RsaRWChistplayed</vt:lpstr>
      <vt:lpstr>RsaRWChistptscon</vt:lpstr>
      <vt:lpstr>RsaRWChistptsscored</vt:lpstr>
      <vt:lpstr>RsaRWChisttriesscored</vt:lpstr>
      <vt:lpstr>RsaRWChistwon</vt:lpstr>
      <vt:lpstr>Rus2019alltestsdrawn</vt:lpstr>
      <vt:lpstr>Rus2019alltestslost</vt:lpstr>
      <vt:lpstr>Rus2019alltestsplayed</vt:lpstr>
      <vt:lpstr>Rus2019alltestsptscon</vt:lpstr>
      <vt:lpstr>Rus2019alltestsptsscored</vt:lpstr>
      <vt:lpstr>Rus2019allteststriescon</vt:lpstr>
      <vt:lpstr>Rus2019allteststriescored</vt:lpstr>
      <vt:lpstr>Rus2019alltestswon</vt:lpstr>
      <vt:lpstr>Russiaalltestshistdrawn</vt:lpstr>
      <vt:lpstr>Russiaalltestshistlost</vt:lpstr>
      <vt:lpstr>Russiaalltestshistplayed</vt:lpstr>
      <vt:lpstr>Russiaalltestshistptsagainst</vt:lpstr>
      <vt:lpstr>Russiaalltestshistptsscored</vt:lpstr>
      <vt:lpstr>Russiaalltestshisttriesscored</vt:lpstr>
      <vt:lpstr>Russiaalltestshistwon</vt:lpstr>
      <vt:lpstr>RussiaRWChistdrawn</vt:lpstr>
      <vt:lpstr>RussiaRWChistlost</vt:lpstr>
      <vt:lpstr>RussiaRWChistplayed</vt:lpstr>
      <vt:lpstr>RussiaRWChistptscon</vt:lpstr>
      <vt:lpstr>RussiaRWChistptsscored</vt:lpstr>
      <vt:lpstr>RussiaRWChisttriesscored</vt:lpstr>
      <vt:lpstr>RussiaRWChistwon</vt:lpstr>
      <vt:lpstr>RWC2019startaus</vt:lpstr>
      <vt:lpstr>RWC2019startcan</vt:lpstr>
      <vt:lpstr>RWC2019startfra</vt:lpstr>
      <vt:lpstr>RWC2019startgeo</vt:lpstr>
      <vt:lpstr>RWC2019startjpn</vt:lpstr>
      <vt:lpstr>RWC2019startnam</vt:lpstr>
      <vt:lpstr>RWC2019startnzl</vt:lpstr>
      <vt:lpstr>RWC2019startrsa</vt:lpstr>
      <vt:lpstr>RWC2019startsam</vt:lpstr>
      <vt:lpstr>RWC2019startsco</vt:lpstr>
      <vt:lpstr>RWCstartwal</vt:lpstr>
      <vt:lpstr>Sam2019alltestsdrawn</vt:lpstr>
      <vt:lpstr>Sam2019alltestslost</vt:lpstr>
      <vt:lpstr>Sam2019alltestsplayed</vt:lpstr>
      <vt:lpstr>Sam2019alltestsptscon</vt:lpstr>
      <vt:lpstr>Sam2019alltestsptsscored</vt:lpstr>
      <vt:lpstr>Sam2019allteststriescon</vt:lpstr>
      <vt:lpstr>Sam2019allteststriescored</vt:lpstr>
      <vt:lpstr>Sam2019alltestswon</vt:lpstr>
      <vt:lpstr>Samalltestshistdrawn</vt:lpstr>
      <vt:lpstr>Samalltestshistlost</vt:lpstr>
      <vt:lpstr>Samalltestshistplayed</vt:lpstr>
      <vt:lpstr>Samalltestshistptscon</vt:lpstr>
      <vt:lpstr>Samalltestshistptsscored</vt:lpstr>
      <vt:lpstr>SamalltestshistTRIESSCORED</vt:lpstr>
      <vt:lpstr>Samalltestshistwon</vt:lpstr>
      <vt:lpstr>SamRWChistdrawn</vt:lpstr>
      <vt:lpstr>SamRWChistlost</vt:lpstr>
      <vt:lpstr>SamRWChistplayed</vt:lpstr>
      <vt:lpstr>SamRWChistptscon</vt:lpstr>
      <vt:lpstr>SamRWChistptsscored</vt:lpstr>
      <vt:lpstr>SamRWChisttriesscored</vt:lpstr>
      <vt:lpstr>SamRWChistwon</vt:lpstr>
      <vt:lpstr>Sco2019alltestsdrawn</vt:lpstr>
      <vt:lpstr>Sco2019alltestslost</vt:lpstr>
      <vt:lpstr>Sco2019alltestsplayed</vt:lpstr>
      <vt:lpstr>Sco2019alltestsptsagainst</vt:lpstr>
      <vt:lpstr>Sco2019alltestsptsscored</vt:lpstr>
      <vt:lpstr>Sco2019allteststriescon</vt:lpstr>
      <vt:lpstr>Sco2019allteststriesscored</vt:lpstr>
      <vt:lpstr>Sco2019alltestswon</vt:lpstr>
      <vt:lpstr>Sco2019pooldrawn</vt:lpstr>
      <vt:lpstr>Sco2019poollbcon</vt:lpstr>
      <vt:lpstr>Sco2019poollbscored</vt:lpstr>
      <vt:lpstr>sco2019poollost</vt:lpstr>
      <vt:lpstr>Sco2019poolplayed</vt:lpstr>
      <vt:lpstr>Sco2019poolptsagainst</vt:lpstr>
      <vt:lpstr>Sco2019poolptsscored</vt:lpstr>
      <vt:lpstr>Sco2019pooltbcon</vt:lpstr>
      <vt:lpstr>Sco2019pooltbscored</vt:lpstr>
      <vt:lpstr>Sco2019pooltriescon</vt:lpstr>
      <vt:lpstr>Sco2019pooltriesscored</vt:lpstr>
      <vt:lpstr>Sco2019poolwon</vt:lpstr>
      <vt:lpstr>Scotlandalltestshistdrawn</vt:lpstr>
      <vt:lpstr>Scotlandalltestshistlost</vt:lpstr>
      <vt:lpstr>Scotlandalltestshistplayed</vt:lpstr>
      <vt:lpstr>Scotlandalltestshistptscon</vt:lpstr>
      <vt:lpstr>Scotlandalltestshistptsscored</vt:lpstr>
      <vt:lpstr>Scotlandalltestshisttriesscored</vt:lpstr>
      <vt:lpstr>Scotlandalltestshistwon</vt:lpstr>
      <vt:lpstr>Scotlanddrawn</vt:lpstr>
      <vt:lpstr>Scotlandlosingbonus</vt:lpstr>
      <vt:lpstr>Scotlandlost</vt:lpstr>
      <vt:lpstr>Scotlandplayed</vt:lpstr>
      <vt:lpstr>Scotlandptsagainst</vt:lpstr>
      <vt:lpstr>Scotlandptsscored</vt:lpstr>
      <vt:lpstr>Scotlandred</vt:lpstr>
      <vt:lpstr>ScotlandRWChistdrawn</vt:lpstr>
      <vt:lpstr>ScotlandRWChistlost</vt:lpstr>
      <vt:lpstr>ScotlandRWChistplayed</vt:lpstr>
      <vt:lpstr>ScotlandRWChistptscon</vt:lpstr>
      <vt:lpstr>ScotlandRWChistptsscored</vt:lpstr>
      <vt:lpstr>ScotlandRWChisttriesscored</vt:lpstr>
      <vt:lpstr>ScotlandRWChistwon</vt:lpstr>
      <vt:lpstr>Scotlandtriesagainst</vt:lpstr>
      <vt:lpstr>Scotlandtriesscored</vt:lpstr>
      <vt:lpstr>Scotlandtrybonus</vt:lpstr>
      <vt:lpstr>Scotlandwon</vt:lpstr>
      <vt:lpstr>Scotlandyellow</vt:lpstr>
      <vt:lpstr>Ton2019alltestsdrawn</vt:lpstr>
      <vt:lpstr>Ton2019alltestslost</vt:lpstr>
      <vt:lpstr>Ton2019alltestsplayed</vt:lpstr>
      <vt:lpstr>Ton2019alltestsptscon</vt:lpstr>
      <vt:lpstr>Ton2019alltestsptsscored</vt:lpstr>
      <vt:lpstr>Ton2019allteststriescon</vt:lpstr>
      <vt:lpstr>Ton2019allteststriesscored</vt:lpstr>
      <vt:lpstr>Ton2019alltestswon</vt:lpstr>
      <vt:lpstr>Tongaalltestshistdrawn</vt:lpstr>
      <vt:lpstr>Tongaalltestshistlost</vt:lpstr>
      <vt:lpstr>Tongaalltestshistplayed</vt:lpstr>
      <vt:lpstr>Tongaalltestshistptsagainst</vt:lpstr>
      <vt:lpstr>Tongaalltestshistptsscored</vt:lpstr>
      <vt:lpstr>Tongaalltestshisttriesscored</vt:lpstr>
      <vt:lpstr>Tongaalltestshistwon</vt:lpstr>
      <vt:lpstr>TongaRWChistdrawn</vt:lpstr>
      <vt:lpstr>TongaRWChistlost</vt:lpstr>
      <vt:lpstr>TongaRWChistplayed</vt:lpstr>
      <vt:lpstr>TongaRWChistptscon</vt:lpstr>
      <vt:lpstr>TongaRWChistptsscored</vt:lpstr>
      <vt:lpstr>TongaRWChisttriesscored</vt:lpstr>
      <vt:lpstr>TongaRWChistwon</vt:lpstr>
      <vt:lpstr>United_Statesalltestshistdrawn</vt:lpstr>
      <vt:lpstr>United_Statesalltestshistlost</vt:lpstr>
      <vt:lpstr>United_Statesalltestshistplayed</vt:lpstr>
      <vt:lpstr>United_Statesalltestshistptscon</vt:lpstr>
      <vt:lpstr>United_Statesalltestshistptsscored</vt:lpstr>
      <vt:lpstr>United_Statesalltestshisttriesscored</vt:lpstr>
      <vt:lpstr>United_Statesalltestshistwon</vt:lpstr>
      <vt:lpstr>United_StatesRWChistdrawn</vt:lpstr>
      <vt:lpstr>United_StatesRWChistlost</vt:lpstr>
      <vt:lpstr>United_StatesRWChistplayed</vt:lpstr>
      <vt:lpstr>United_StatesRWChistptscon</vt:lpstr>
      <vt:lpstr>United_StatesRWChistptsscored</vt:lpstr>
      <vt:lpstr>United_StatesRWChisttriesscored</vt:lpstr>
      <vt:lpstr>United_StatesRWChistwon</vt:lpstr>
      <vt:lpstr>Uru2019alltestsdrawn</vt:lpstr>
      <vt:lpstr>Uru2019alltestslost</vt:lpstr>
      <vt:lpstr>Uru2019alltestsplayed</vt:lpstr>
      <vt:lpstr>Uru2019alltestsplayedcorrect</vt:lpstr>
      <vt:lpstr>Uru2019alltestsptscon</vt:lpstr>
      <vt:lpstr>Uru2019alltestsptsscored</vt:lpstr>
      <vt:lpstr>Uru2019allteststriescon</vt:lpstr>
      <vt:lpstr>Uru2019allteststriesconcorrect</vt:lpstr>
      <vt:lpstr>Uru2019allteststriesscored</vt:lpstr>
      <vt:lpstr>Uru2019alltestswon</vt:lpstr>
      <vt:lpstr>Urualltestshistdrawn</vt:lpstr>
      <vt:lpstr>Urualltestshistlost</vt:lpstr>
      <vt:lpstr>Urualltestshistplayed</vt:lpstr>
      <vt:lpstr>Urualltestshistptscon</vt:lpstr>
      <vt:lpstr>Urualltestshistptsscored</vt:lpstr>
      <vt:lpstr>Urualltestshisttriesscored</vt:lpstr>
      <vt:lpstr>Urualltestshistwon</vt:lpstr>
      <vt:lpstr>UruRWChistdrawn</vt:lpstr>
      <vt:lpstr>UruRWChistlost</vt:lpstr>
      <vt:lpstr>UruRWChistplayed</vt:lpstr>
      <vt:lpstr>UruRWChistptscon</vt:lpstr>
      <vt:lpstr>UruRWChistptsscored</vt:lpstr>
      <vt:lpstr>UruRWChisttriesscored</vt:lpstr>
      <vt:lpstr>UruRWChistwon</vt:lpstr>
      <vt:lpstr>USA2019alltestsdrawn</vt:lpstr>
      <vt:lpstr>USA2019alltestslost</vt:lpstr>
      <vt:lpstr>USA2019alltestsplayed</vt:lpstr>
      <vt:lpstr>USA2019alltestsptscon</vt:lpstr>
      <vt:lpstr>USA2019alltestsptsscored</vt:lpstr>
      <vt:lpstr>USA2019allteststriescon</vt:lpstr>
      <vt:lpstr>USA2019allteststriesscored</vt:lpstr>
      <vt:lpstr>USA2019alltestswon</vt:lpstr>
      <vt:lpstr>vlost</vt:lpstr>
      <vt:lpstr>vtriesscored</vt:lpstr>
      <vt:lpstr>Wal2019alltestsdrawn</vt:lpstr>
      <vt:lpstr>Wal2019alltestslostcorrect</vt:lpstr>
      <vt:lpstr>Wal2019alltestsplayed</vt:lpstr>
      <vt:lpstr>Wal2019alltestsptscon</vt:lpstr>
      <vt:lpstr>Wal2019alltestsptsscored</vt:lpstr>
      <vt:lpstr>Wal2019allteststriescon</vt:lpstr>
      <vt:lpstr>Wal2019allteststriesscored</vt:lpstr>
      <vt:lpstr>Wal2019alltestswon</vt:lpstr>
      <vt:lpstr>Wal2019pooldrawn</vt:lpstr>
      <vt:lpstr>Wal2019poollbcon</vt:lpstr>
      <vt:lpstr>Wal2019poollbscored</vt:lpstr>
      <vt:lpstr>Wal2019poollostcorrect</vt:lpstr>
      <vt:lpstr>Wal2019poolplayed</vt:lpstr>
      <vt:lpstr>Wal2019poolptscon</vt:lpstr>
      <vt:lpstr>Wal2019poolptsscored</vt:lpstr>
      <vt:lpstr>Wal2019pooltbcon</vt:lpstr>
      <vt:lpstr>Wal2019pooltbscored</vt:lpstr>
      <vt:lpstr>Wal2019pooltriescon</vt:lpstr>
      <vt:lpstr>Wal2019pooltriesscored</vt:lpstr>
      <vt:lpstr>Wal2019poolwon</vt:lpstr>
      <vt:lpstr>Walesalltestshistdrawn</vt:lpstr>
      <vt:lpstr>Walesalltestshistlost</vt:lpstr>
      <vt:lpstr>Walesalltestshistplayed</vt:lpstr>
      <vt:lpstr>Walesalltestshistptscon</vt:lpstr>
      <vt:lpstr>Walesalltestshistptsscored</vt:lpstr>
      <vt:lpstr>Walesalltestshisttriesscored</vt:lpstr>
      <vt:lpstr>Walesalltestshistwon</vt:lpstr>
      <vt:lpstr>Walesdrawn</vt:lpstr>
      <vt:lpstr>Waleslosingbonus</vt:lpstr>
      <vt:lpstr>Waleslost</vt:lpstr>
      <vt:lpstr>Walesplayed</vt:lpstr>
      <vt:lpstr>Walesptsagainst</vt:lpstr>
      <vt:lpstr>Walesptsscored</vt:lpstr>
      <vt:lpstr>Walesred</vt:lpstr>
      <vt:lpstr>WalesRWChistdrawn</vt:lpstr>
      <vt:lpstr>WalesRWChistlost</vt:lpstr>
      <vt:lpstr>WalesRWChistplayed</vt:lpstr>
      <vt:lpstr>WalesRWChistptscon</vt:lpstr>
      <vt:lpstr>WalesRWChistptsscored</vt:lpstr>
      <vt:lpstr>WalesRWChisttriesscored</vt:lpstr>
      <vt:lpstr>WalesRWChistwon</vt:lpstr>
      <vt:lpstr>Walestriesagainst</vt:lpstr>
      <vt:lpstr>Walestriesscored</vt:lpstr>
      <vt:lpstr>Walestrybonus</vt:lpstr>
      <vt:lpstr>Waleswon</vt:lpstr>
      <vt:lpstr>Walesyellow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cp:lastPrinted>2014-11-10T19:20:47Z</cp:lastPrinted>
  <dcterms:created xsi:type="dcterms:W3CDTF">2013-06-01T17:42:48Z</dcterms:created>
  <dcterms:modified xsi:type="dcterms:W3CDTF">2025-03-07T18:58:37Z</dcterms:modified>
</cp:coreProperties>
</file>