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/2025-26/"/>
    </mc:Choice>
  </mc:AlternateContent>
  <xr:revisionPtr revIDLastSave="7713" documentId="8_{038774E9-348D-4260-868F-06F380B8E838}" xr6:coauthVersionLast="47" xr6:coauthVersionMax="47" xr10:uidLastSave="{7CC38858-9F47-4F89-909A-C46F24FC0627}"/>
  <bookViews>
    <workbookView xWindow="-109" yWindow="-109" windowWidth="26301" windowHeight="14169" tabRatio="952" activeTab="9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RB" sheetId="11" r:id="rId7"/>
    <sheet name="NOR" sheetId="9" r:id="rId8"/>
    <sheet name="SAL" sheetId="10" r:id="rId9"/>
    <sheet name="SAR" sheetId="14" r:id="rId10"/>
    <sheet name="PREM - OVERALL" sheetId="13" r:id="rId11"/>
    <sheet name="PRM CUP - OVERALL" sheetId="16" r:id="rId12"/>
  </sheets>
  <externalReferences>
    <externalReference r:id="rId13"/>
  </externalReferences>
  <definedNames>
    <definedName name="A_Wallerpts">NOR!$G$47</definedName>
    <definedName name="A_Wallertries">NOR!$B$47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GLO!#REF!</definedName>
    <definedName name="Ackermannglotries">GLO!#REF!</definedName>
    <definedName name="Adams_Halesarpts">NRB!#REF!</definedName>
    <definedName name="Adams_Halesarptscorrect">SAR!#REF!</definedName>
    <definedName name="Adams_Halesartries">NRB!#REF!</definedName>
    <definedName name="Adams_Halesartriescorrect">SAR!#REF!</definedName>
    <definedName name="Adamsworpts">#REF!</definedName>
    <definedName name="Adamswortries">#REF!</definedName>
    <definedName name="Adderly_Jonesglopts">GLO!#REF!</definedName>
    <definedName name="Adderly_Jonesglotries">GLO!#REF!</definedName>
    <definedName name="Addisonsal2ndspellpts">SAL!#REF!</definedName>
    <definedName name="Addisonsal2ndspelltries">SAL!#REF!</definedName>
    <definedName name="Addisonsalpts">SAL!#REF!</definedName>
    <definedName name="Addisonsaltries">SAL!#REF!</definedName>
    <definedName name="adegbemilesarpremcuppts">SAR!$I$3</definedName>
    <definedName name="adegbemilesarpremcuptries">SAR!$D$3</definedName>
    <definedName name="Adejimisarpts">SAR!$G$3</definedName>
    <definedName name="Adejimisartries">SAR!$B$3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ts">GLO!$G$3</definedName>
    <definedName name="Alemannoglotries">GLO!$B$3</definedName>
    <definedName name="allanleipremcuppts">LEI!$I$3</definedName>
    <definedName name="allanleipremcuptries">LEI!$D$3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lportglopts">GLO!$G$4</definedName>
    <definedName name="Allportglotries">GLO!$B$4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ts">HAR!$G$3</definedName>
    <definedName name="Andersonhartries">HAR!$B$3</definedName>
    <definedName name="Andrewssalpts">SAL!$G$3</definedName>
    <definedName name="Andrewssaltries">SAL!$B$3</definedName>
    <definedName name="Annettbthpts">BTH!#REF!</definedName>
    <definedName name="Annettbthtries">BTH!#REF!</definedName>
    <definedName name="anscombegloatt">GLO!#REF!</definedName>
    <definedName name="anscombeglogls">GLO!#REF!</definedName>
    <definedName name="Anscombeglopts">GLO!#REF!</definedName>
    <definedName name="Anscombeglotries">GLO!#REF!</definedName>
    <definedName name="Anyanwuharpts">HAR!#REF!</definedName>
    <definedName name="Anyanwuhartries">HAR!#REF!</definedName>
    <definedName name="Armanddonpts">EXE!$G$3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BRI!#REF!</definedName>
    <definedName name="Armstrongbritries">BRI!#REF!</definedName>
    <definedName name="ArmstrongEXEpts">EXE!#REF!</definedName>
    <definedName name="ArmstrongEXEtries">EXE!#REF!</definedName>
    <definedName name="Armstrongjakebripts">BRI!#REF!</definedName>
    <definedName name="Armstrongjakebritries">BRI!#REF!</definedName>
    <definedName name="Armtageguypts">BRI!#REF!</definedName>
    <definedName name="Arnoldnewpts">NRB!$G$3</definedName>
    <definedName name="Arnoldnewtries">NRB!$B$3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NRB!#REF!</definedName>
    <definedName name="Arscottnewtries">#REF!</definedName>
    <definedName name="Arscottnewtriescorrect">NRB!#REF!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BRI!#REF!</definedName>
    <definedName name="Ascherlbritries">BRI!#REF!</definedName>
    <definedName name="Ashmansalpts">SAL!#REF!</definedName>
    <definedName name="Ashmansaltries">SAL!#REF!</definedName>
    <definedName name="Ashtonchrisptscorrect">NRB!#REF!</definedName>
    <definedName name="Ashtonchristriescorrect">NRB!#REF!</definedName>
    <definedName name="Ashtonpts">NRB!#REF!</definedName>
    <definedName name="Ashtonsalpts">SAL!#REF!</definedName>
    <definedName name="Ashtonsaltries">SAL!#REF!</definedName>
    <definedName name="ashtontries">NRB!#REF!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BRI!#REF!</definedName>
    <definedName name="atkinslirgls">BRI!#REF!</definedName>
    <definedName name="Atkinson_Cglopts">GLO!$G$5</definedName>
    <definedName name="Atkinson_Cglotries">GLO!$B$5</definedName>
    <definedName name="Atkinson_Sglopts">GLO!$G$6</definedName>
    <definedName name="Atkinson_Sglotries">GLO!$B$6</definedName>
    <definedName name="atkinsonCgloatt">GLO!$M$4</definedName>
    <definedName name="atkinsonCglogls">GLO!$L$4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BTH!$G$38</definedName>
    <definedName name="attwoodtries">BTH!#REF!</definedName>
    <definedName name="Augustusnorpts">NOR!#REF!</definedName>
    <definedName name="Augustusnortries">NOR!#REF!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stinglopts">GLO!$G$7</definedName>
    <definedName name="Austinglotries">GLO!$B$7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BTH!$M$4</definedName>
    <definedName name="Baileybthgls">BTH!$L$4</definedName>
    <definedName name="Baileybthpts">BTH!$G$3</definedName>
    <definedName name="Baileybthtries">BTH!$B$3</definedName>
    <definedName name="Baileyleipremcupatt">LEI!$M$32</definedName>
    <definedName name="Baileyleipremcupgls">LEI!$L$32</definedName>
    <definedName name="baileyleipremcuppts">LEI!$I$4</definedName>
    <definedName name="baileyleipremcuptries">LEI!$D$4</definedName>
    <definedName name="Bainessalpts">SAL!#REF!</definedName>
    <definedName name="Bainessaltries">SAL!#REF!</definedName>
    <definedName name="Bakerbripts">BRI!$G$3</definedName>
    <definedName name="Bakerbritries">BRI!$B$3</definedName>
    <definedName name="Baldwinharpts">HAR!#REF!</definedName>
    <definedName name="Baldwinhartries">HAR!#REF!</definedName>
    <definedName name="Balmainglopts">GLO!#REF!</definedName>
    <definedName name="Balmainglotries">GLO!#REF!</definedName>
    <definedName name="Balmainleipts">LEI!#REF!</definedName>
    <definedName name="Balmainleitries">LEI!#REF!</definedName>
    <definedName name="Balmainsarpts">SAR!$G$4</definedName>
    <definedName name="Balmainsartries">SAR!$B$4</definedName>
    <definedName name="BamberSALpts">SAL!$G$4</definedName>
    <definedName name="BamberSALtries">SAL!$B$4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BTH!$G$4</definedName>
    <definedName name="Barbearybthtries">BTH!$B$4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erbripts">BRI!$G$4</definedName>
    <definedName name="Barkerbritries">BRI!$B$4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HAR!#REF!</definedName>
    <definedName name="Barneshartries">HAR!#REF!</definedName>
    <definedName name="Barnesnewpts">#REF!</definedName>
    <definedName name="Barnesnewtries">#REF!</definedName>
    <definedName name="Barringtonrichardpts">NRB!#REF!</definedName>
    <definedName name="Barringtonrichardtries">NRB!#REF!</definedName>
    <definedName name="Barringtonsarptscorrect">SAR!#REF!</definedName>
    <definedName name="Barringtonsartriescorrect">SAR!#REF!</definedName>
    <definedName name="Barrittbradpts">NRB!$G$5</definedName>
    <definedName name="Barrittbradtries">NRB!$B$5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GLO!#REF!</definedName>
    <definedName name="Bartlettglotries">GLO!#REF!</definedName>
    <definedName name="Bartongloatt">GLO!$M$5</definedName>
    <definedName name="Bartonglogls">GLO!$L$5</definedName>
    <definedName name="Bartonglopremcupatt">GLO!$M$33</definedName>
    <definedName name="Bartonglopremcupgls">GLO!$L$33</definedName>
    <definedName name="bartonglopremcuppfts">GLO!$I$8</definedName>
    <definedName name="bartonglopremcuptries">GLO!$D$8</definedName>
    <definedName name="Bartonglopts">GLO!$G$8</definedName>
    <definedName name="Bartonglotries">GLO!$B$8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BRI!$G$5</definedName>
    <definedName name="Batesbritries">BRI!$B$5</definedName>
    <definedName name="bathpentries">BTH!#REF!</definedName>
    <definedName name="bathpentriespts">BTH!#REF!</definedName>
    <definedName name="bathpentriesptscorrect">BTH!#REF!</definedName>
    <definedName name="bathpentriesptsthisone">BTH!$G$38</definedName>
    <definedName name="bathpentriestriescorrect">BTH!#REF!</definedName>
    <definedName name="bathpentriestriesthisone">BTH!$B$38</definedName>
    <definedName name="BathPts">BTH!$G$55</definedName>
    <definedName name="bathscorers">BTH!#REF!</definedName>
    <definedName name="BathTries">BTH!$B$55</definedName>
    <definedName name="Batleybripts">BRI!#REF!</definedName>
    <definedName name="Batleybriptscorrect">BRI!$G$6</definedName>
    <definedName name="Batleybritries">BRI!#REF!</definedName>
    <definedName name="Batleybritriescorrect">BRI!$B$6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HAR!$G$4</definedName>
    <definedName name="Baxterhartries">HAR!$B$4</definedName>
    <definedName name="Baylissbthpts">BTH!$G$5</definedName>
    <definedName name="Baylissbthtries">BTH!$B$5</definedName>
    <definedName name="bazalgettebribriatt">BRI!#REF!</definedName>
    <definedName name="bazalgettebrigls">BRI!#REF!</definedName>
    <definedName name="Bazalgettebripts">BRI!#REF!</definedName>
    <definedName name="Bazalgettebritries">BRI!#REF!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HAR!$G$5</definedName>
    <definedName name="Beardhartries">HAR!$B$5</definedName>
    <definedName name="Beatonsarpts">SAR!$G$7</definedName>
    <definedName name="Beatonsartries">SAR!$B$7</definedName>
    <definedName name="Beaumontsalpts">SAL!#REF!</definedName>
    <definedName name="Beaumontsaltries">SAL!#REF!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_Jsalpts">SAL!$G$5</definedName>
    <definedName name="Bedlow_Jsaltries">SAL!$B$5</definedName>
    <definedName name="bedlowbriatt">BRI!#REF!</definedName>
    <definedName name="Bedlowbrigls">BRI!#REF!</definedName>
    <definedName name="Bedlowbripts">BRI!$G$7</definedName>
    <definedName name="bedlowbritries">BRI!$B$7</definedName>
    <definedName name="BedlowSAL_pts">SAL!$G$6</definedName>
    <definedName name="BedlowSAL_tries">SAL!$B$6</definedName>
    <definedName name="bedlowsalatt">SAL!#REF!</definedName>
    <definedName name="bedlowsalattcorrect">SAL!$M$4</definedName>
    <definedName name="Bedlowsalgls">SAL!#REF!</definedName>
    <definedName name="bedlowsalglscorrect">SAL!$L$4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etsleicpts">LEI!$G$5</definedName>
    <definedName name="Beetsleictries">LEI!$B$5</definedName>
    <definedName name="Bell_C">#REF!</definedName>
    <definedName name="Bellchrispts">#REF!</definedName>
    <definedName name="Bellchristries">#REF!</definedName>
    <definedName name="belleaunoratt">NOR!$M$4</definedName>
    <definedName name="belleaunorgls">NOR!$L$4</definedName>
    <definedName name="Belleaunorpremcupatt">NOR!$M$31</definedName>
    <definedName name="Belleaunorpremcupgls">NOR!$L$31</definedName>
    <definedName name="Belleaunorpremcuppts">NOR!$I$3</definedName>
    <definedName name="Belleaunorpremcuptries">NOR!$D$3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NRB!$G$4</definedName>
    <definedName name="Bellonewtries">NRB!$B$4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HAR!$M$5</definedName>
    <definedName name="bensonhargls">HAR!$L$5</definedName>
    <definedName name="Bensonharpremcupatt">HAR!$M$28</definedName>
    <definedName name="Bensonharpremcupgls">HAR!$L$28</definedName>
    <definedName name="bensonharpremcuppts">HAR!$I$6</definedName>
    <definedName name="bensonharpremcuptries">HAR!$D$6</definedName>
    <definedName name="Bensonharpts">HAR!$G$6</definedName>
    <definedName name="Bensonhartries">HAR!$B$6</definedName>
    <definedName name="Bensonnorpts">NOR!$G$4</definedName>
    <definedName name="Bensonnortries">NOR!$B$4</definedName>
    <definedName name="Bentleyjonnypts">GLO!#REF!</definedName>
    <definedName name="Benz_Salomon_Jbripts">BRI!#REF!</definedName>
    <definedName name="Benz_Salomon_Jbritri">BRI!#REF!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anbripremcuppts">BRI!$I$8</definedName>
    <definedName name="bevanbripremcuptries">BRI!$D$8</definedName>
    <definedName name="Bevingtonbstpts">BRI!#REF!</definedName>
    <definedName name="Bevingtonbsttries">BRI!#REF!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SAL!$G$7</definedName>
    <definedName name="Birchsaltries">SAL!$B$7</definedName>
    <definedName name="blackettnewatt">NRB!#REF!</definedName>
    <definedName name="blackettnewgls">NRB!#REF!</definedName>
    <definedName name="Blackettnewpts">NRB!#REF!</definedName>
    <definedName name="Blackettnewtries">NRB!#REF!</definedName>
    <definedName name="Blackmoreglopts">GLO!$G$9</definedName>
    <definedName name="Blackmoreglotries">GLO!$B$9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GLO!$G$11</definedName>
    <definedName name="Blakeglotries">GLO!$B$11</definedName>
    <definedName name="blamireleipremcuppts">LEI!$I$5</definedName>
    <definedName name="blamireleipremcuptries">LEI!$D$5</definedName>
    <definedName name="Blamirenewpts">#REF!</definedName>
    <definedName name="Blamirenewtries">#REF!</definedName>
    <definedName name="Blommetjiesleicpts">LEI!$G$9</definedName>
    <definedName name="Blommetjiesleictries">LEI!$B$9</definedName>
    <definedName name="Bodillyexepts">EXE!#REF!</definedName>
    <definedName name="Bodillyexetries">EXE!#REF!</definedName>
    <definedName name="boschatt">NRB!#REF!</definedName>
    <definedName name="Boschgoals">NRB!#REF!</definedName>
    <definedName name="Boschmarcelopts">NRB!$G$6</definedName>
    <definedName name="Boschmarcelotries">NRB!$B$6</definedName>
    <definedName name="boshoffbripremcuppts">BRI!$I$7</definedName>
    <definedName name="boshoffbripremcuptries">BRI!$D$7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NRB!#REF!</definedName>
    <definedName name="Bothamouritztries">NRB!#REF!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BTH!#REF!</definedName>
    <definedName name="Boycebthtries">BTH!#REF!</definedName>
    <definedName name="Boyceharpts">HAR!#REF!</definedName>
    <definedName name="Boycehartries">HAR!#REF!</definedName>
    <definedName name="Bracken_CSARPTS">SAR!$G$5</definedName>
    <definedName name="Bracken_CSARTRIES">SAR!$B$5</definedName>
    <definedName name="brackencsarpremcuppts">SAR!$I$5</definedName>
    <definedName name="brackencsarpremcuptries">SAR!$D$5</definedName>
    <definedName name="brackenjsarpremcuppts">SAR!$I$6</definedName>
    <definedName name="brackenjsarpremcuptries">SAR!$D$6</definedName>
    <definedName name="Brackensarpts">SAR!$G$6</definedName>
    <definedName name="Brackensartries">SAR!$B$6</definedName>
    <definedName name="Bradburybripts">BRI!#REF!</definedName>
    <definedName name="Bradburybritries">BRI!#REF!</definedName>
    <definedName name="bradleyharpremcuppts">HAR!$I$7</definedName>
    <definedName name="bradleyharpremcuptries">HAR!$D$7</definedName>
    <definedName name="Bradleyharpts">HAR!$G$7</definedName>
    <definedName name="Bradleyhartries">HAR!$B$7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NOR!$G$3</definedName>
    <definedName name="Braleynortries">NOR!#REF!</definedName>
    <definedName name="Braleynortriescorrect">NOR!$B$3</definedName>
    <definedName name="Brantinghamsarpts">SAR!$G$8</definedName>
    <definedName name="Brantinghamsartries">SAR!$B$8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BRI!$G$58</definedName>
    <definedName name="BristolTries">BRI!$B$58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NRB!#REF!</definedName>
    <definedName name="britstris">NRB!#REF!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_Bampoeexepts">EXE!$G$5</definedName>
    <definedName name="Brown_Bampoeexetries">EXE!$B$5</definedName>
    <definedName name="brown2">HAR!#REF!</definedName>
    <definedName name="Brownedanielpts">#REF!</definedName>
    <definedName name="Brownedanieltries">#REF!</definedName>
    <definedName name="BrowneHARpts">HAR!$G$8</definedName>
    <definedName name="BrowneHARtries">HAR!$B$8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NRB!#REF!</definedName>
    <definedName name="brownkellytries">NRB!#REF!</definedName>
    <definedName name="brownleipts">LEI!#REF!</definedName>
    <definedName name="brownleitries">LEI!#REF!</definedName>
    <definedName name="brownmikepts2">HAR!#REF!</definedName>
    <definedName name="Brownmiketries">HAR!#REF!</definedName>
    <definedName name="brownmiketriescorrect">HAR!#REF!</definedName>
    <definedName name="brownnewpts">NRB!#REF!</definedName>
    <definedName name="brownnewtries">NRB!#REF!</definedName>
    <definedName name="brownnorpremcuppts">NOR!$I$5</definedName>
    <definedName name="brownnorpremcuptries">NOR!$D$5</definedName>
    <definedName name="brownnorpts">NOR!$G$5</definedName>
    <definedName name="brownnortries">NOR!$B$5</definedName>
    <definedName name="brownsarpts">NRB!#REF!</definedName>
    <definedName name="brownsartries">NRB!#REF!</definedName>
    <definedName name="Brussownorpts">NOR!#REF!</definedName>
    <definedName name="Brussownortries">NOR!#REF!</definedName>
    <definedName name="Bryansarpts">SAR!$G$9</definedName>
    <definedName name="Bryansartries">SAR!$B$9</definedName>
    <definedName name="bryantleiatt">LEI!#REF!</definedName>
    <definedName name="Bryantleigoals">LEI!#REF!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NRB!$G$9</definedName>
    <definedName name="Burgerjacquestries">NRB!$B$9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NRB!$G$7</definedName>
    <definedName name="Burrellnewtries">NRB!$B$7</definedName>
    <definedName name="Burrellpts">NOR!#REF!</definedName>
    <definedName name="Burrelltries">NOR!#REF!</definedName>
    <definedName name="Burrelltriescorrect">NOR!#REF!</definedName>
    <definedName name="Burrowsalpts">SAL!$G$8</definedName>
    <definedName name="Burrowsaltries">SAL!$B$8</definedName>
    <definedName name="BurrowsEXEpts">EXE!$G$4</definedName>
    <definedName name="BurrowsEXEtries">EXE!$B$4</definedName>
    <definedName name="Burrowsnewpts">#REF!</definedName>
    <definedName name="Burrowsnewtries">#REF!</definedName>
    <definedName name="Butlerglopts">GLO!$G$14</definedName>
    <definedName name="Butlerglotries">GLO!$B$14</definedName>
    <definedName name="buttbthpremcuppts">BTH!$I$6</definedName>
    <definedName name="buttbthpremcuptries">BTH!$D$6</definedName>
    <definedName name="Buttbthpts">BTH!$G$6</definedName>
    <definedName name="Buttbthtries">BTH!$B$6</definedName>
    <definedName name="byrnebriatt">BRI!#REF!</definedName>
    <definedName name="Byrnebrigls">BRI!#REF!</definedName>
    <definedName name="Byrnebripts">BRI!#REF!</definedName>
    <definedName name="Byrnebritries">BRI!#REF!</definedName>
    <definedName name="Byrneglopremcupatt">GLO!$M$34</definedName>
    <definedName name="Byrneglopremcupgls">GLO!$L$34</definedName>
    <definedName name="byrneglopremcuppts">GLO!$I$13</definedName>
    <definedName name="byrneglopremcuptries">GLO!$D$13</definedName>
    <definedName name="Byrneglopts">GLO!$G$13</definedName>
    <definedName name="Byrneglotries">GLO!$B$13</definedName>
    <definedName name="Byrnehbripts">BRI!#REF!</definedName>
    <definedName name="Byrnehbritries">BRI!#REF!</definedName>
    <definedName name="Cahillshanepts">#REF!</definedName>
    <definedName name="Cahillshanetries">#REF!</definedName>
    <definedName name="cainesalpremcuppts">SAL!$I$9</definedName>
    <definedName name="cainesalpremcuptries">SAL!$E$9</definedName>
    <definedName name="Cainesalpts">SAL!$G$9</definedName>
    <definedName name="Cainesaltries">SAL!$B$9</definedName>
    <definedName name="Cairnsexepts">EXE!$G$6</definedName>
    <definedName name="Cairnsexetries">EXE!$B$6</definedName>
    <definedName name="Caldwellexepts">EXE!$G$7</definedName>
    <definedName name="Caldwellexetries">EXE!$B$7</definedName>
    <definedName name="Caluorisarpts">SAR!$G$10</definedName>
    <definedName name="Caluorisartries">SAR!$B$10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BRI!$G$9</definedName>
    <definedName name="Caponbritries">BRI!$B$9</definedName>
    <definedName name="Capstickexepts">EXE!$G$7</definedName>
    <definedName name="Capstickexetries">EXE!$B$7</definedName>
    <definedName name="caqusaunorpremcuppts">NOR!$I$6</definedName>
    <definedName name="caqusaunorpremcuptries">NOR!$D$6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HAR!#REF!</definedName>
    <definedName name="Carepts">HAR!#REF!</definedName>
    <definedName name="caretries" comment="constant">HAR!#REF!</definedName>
    <definedName name="carlisleatt">#REF!</definedName>
    <definedName name="carlislegoals">#REF!</definedName>
    <definedName name="Carlislejoetries">#REF!</definedName>
    <definedName name="Carlislepts">#REF!</definedName>
    <definedName name="Carnduffleipts">LEI!$G$6</definedName>
    <definedName name="Carnduffleitries">LEI!$B$6</definedName>
    <definedName name="Carpentersalpts">SAL!$G$10</definedName>
    <definedName name="Carpentersaltries">SAL!$B$10</definedName>
    <definedName name="Carrerasbthpts">BTH!$G$7</definedName>
    <definedName name="Carrerasbthtries">BTH!$B$7</definedName>
    <definedName name="carrerasgloatt">GLO!#REF!</definedName>
    <definedName name="Carrerasglogls">GLO!#REF!</definedName>
    <definedName name="Carrerasglopts">GLO!$G$15</definedName>
    <definedName name="Carrerasglotries">GLO!$B$15</definedName>
    <definedName name="Carrerasnewpts">NRB!$G$8</definedName>
    <definedName name="Carrerasnewtries">NRB!$B$8</definedName>
    <definedName name="Carresarpts">SAR!$G$11</definedName>
    <definedName name="Carresartries">SAR!$B$11</definedName>
    <definedName name="Carrharpts">HAR!$G$9</definedName>
    <definedName name="Carrhartries">HAR!$B$9</definedName>
    <definedName name="Carrick_Smithexepts">EXE!#REF!</definedName>
    <definedName name="Carrick_Smithexetries">EXE!#REF!</definedName>
    <definedName name="carringtonbripremcuppts">BRI!$I$10</definedName>
    <definedName name="carringtonbripremcuptries">BRI!$D$10</definedName>
    <definedName name="Carrnwaspts">#REF!</definedName>
    <definedName name="Carrnwastries">#REF!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BRI!$G$10</definedName>
    <definedName name="CaulfieldBRItries">BRI!$B$10</definedName>
    <definedName name="cavenglopremcuppts">GLO!$I$15</definedName>
    <definedName name="cavenglopremcuptries">GLO!$D$15</definedName>
    <definedName name="Challengerbripts">BRI!$G$11</definedName>
    <definedName name="Challengerbritries">BRI!$B$11</definedName>
    <definedName name="Chamberlainnrbatt">NRB!$M$4</definedName>
    <definedName name="Chamberlainnrbgls">NRB!$L$4</definedName>
    <definedName name="chapmangloatt">GLO!$M$6</definedName>
    <definedName name="chapmanglogls">GLO!$L$6</definedName>
    <definedName name="Chapmanglopts">GLO!#REF!</definedName>
    <definedName name="Chapmanglotries">GLO!#REF!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LEI!$G$7</definedName>
    <definedName name="Chessum_Lleitries">LEI!$B$7</definedName>
    <definedName name="Chessumleicpts">LEI!$G$8</definedName>
    <definedName name="Chessumleictries">LEI!$B$8</definedName>
    <definedName name="Chicknewpts">#REF!</definedName>
    <definedName name="Chicknewtries">#REF!</definedName>
    <definedName name="chicknorpremcuppts">NOR!$I$7</definedName>
    <definedName name="chicknorpremcuptries">NOR!$D$7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HAR!$G$10</definedName>
    <definedName name="Chisholmjameshartries">HAR!$B$10</definedName>
    <definedName name="Christienrbpremcuppts">NRB!$I$10</definedName>
    <definedName name="Christienrbpremcuptries">NRB!$D$10</definedName>
    <definedName name="Christienrbpts">NRB!$G$10</definedName>
    <definedName name="Christienrbtries">NRB!$B$10</definedName>
    <definedName name="Christiesarptscorrect">SAR!#REF!</definedName>
    <definedName name="Christiesartriescorrect">SAR!#REF!</definedName>
    <definedName name="Chudleybthpts">BTH!$G$6</definedName>
    <definedName name="Chudleybthtries">BTH!$B$6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SAR!$G$12</definedName>
    <definedName name="Cintisartries">SAR!$B$12</definedName>
    <definedName name="ciprianiatt">SAL!#REF!</definedName>
    <definedName name="ciprianibthatt">BTH!#REF!</definedName>
    <definedName name="ciprianibthgls">BTH!#REF!</definedName>
    <definedName name="ciprianibthpts">BTH!$G$8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leipremcuppts">LEI!$I$9</definedName>
    <definedName name="clareleipremcuptries">LEI!$D$9</definedName>
    <definedName name="Clarenorpts">NOR!#REF!</definedName>
    <definedName name="Clarenortries">NOR!#REF!</definedName>
    <definedName name="Clareysarptscorrect">SAR!$G$13</definedName>
    <definedName name="Clareysartriescorrect">SAR!$B$13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esarpremcuppts">SAR!$I$14</definedName>
    <definedName name="Clarkesarpremcuptries">SAR!$D$14</definedName>
    <definedName name="Clarkesarpts">SAR!$G$14</definedName>
    <definedName name="Clarkesartries">SAR!$B$14</definedName>
    <definedName name="Clarkglopts">GLO!$G$16</definedName>
    <definedName name="Clarkglotries">GLO!$B$16</definedName>
    <definedName name="Clarknewpts">NRB!$G$11</definedName>
    <definedName name="Clarknewtries">NRB!$B$11</definedName>
    <definedName name="cleavesharpremcuppts">HAR!$I$11</definedName>
    <definedName name="cleavesharpremcuptries">HAR!$D$11</definedName>
    <definedName name="Cleavesharpts">HAR!$G$11</definedName>
    <definedName name="Cleaveshartries">HAR!$B$11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SAL!#REF!</definedName>
    <definedName name="Cliffwillsaltries">SAL!#REF!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nexepremcupatt">EXE!$M$32</definedName>
    <definedName name="Coenexepremcupgls">EXE!$L$32</definedName>
    <definedName name="Coenexepremcuppts">EXE!$I$9</definedName>
    <definedName name="Coenexepremcuptries">EXE!$D$9</definedName>
    <definedName name="Coenexepts">EXE!$G$9</definedName>
    <definedName name="Coenexetries">EXE!$B$9</definedName>
    <definedName name="Coetzeebthpts">BTH!#REF!</definedName>
    <definedName name="Coetzeebthtries">BTH!#REF!</definedName>
    <definedName name="Coetzeenrbpts">NRB!$G$12</definedName>
    <definedName name="Coetzeenrbtries">NRB!$B$12</definedName>
    <definedName name="Coetzerglopts">GLO!$G$17</definedName>
    <definedName name="Coetzerglotries">GLO!$B$17</definedName>
    <definedName name="Cokanasigabthpts">BTH!$G$9</definedName>
    <definedName name="Cokanasigabthtries">BTH!$B$9</definedName>
    <definedName name="CokanasigaLEIpts">LEI!#REF!</definedName>
    <definedName name="CokanasigaLEItries">LEI!#REF!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LEI!#REF!</definedName>
    <definedName name="Coleleitries">LEI!#REF!</definedName>
    <definedName name="Colesnorpts">NOR!$G$8</definedName>
    <definedName name="Colesnortries">NOR!$B$8</definedName>
    <definedName name="Collettnewpts">#REF!</definedName>
    <definedName name="Collettnewtries">#REF!</definedName>
    <definedName name="Collierharpts">HAR!#REF!</definedName>
    <definedName name="Collierhartries">HAR!#REF!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NRB!#REF!</definedName>
    <definedName name="Conlonsartries">NRB!#REF!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NRB!$G$13</definedName>
    <definedName name="Connonnewtries">#REF!</definedName>
    <definedName name="Connonnewtriescorrect">#REF!</definedName>
    <definedName name="Connonnewtriescorrectthsione">NRB!$B$13</definedName>
    <definedName name="Connonnrbpremcupatt">NRB!$M$25</definedName>
    <definedName name="Connonnrbpremcupgls">NRB!$L$25</definedName>
    <definedName name="connonnrbpremcuppts">NRB!$I$13</definedName>
    <definedName name="connonnrbpremcuptries">NRB!$D$13</definedName>
    <definedName name="cookatt">GLO!#REF!</definedName>
    <definedName name="Cookbthpts">BTH!$G$10</definedName>
    <definedName name="Cookbthtries">BTH!$B$10</definedName>
    <definedName name="Cookchrispts">BTH!$G$10</definedName>
    <definedName name="Cookchristries">BTH!$B$10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tgreaveglopremcuppts">GLO!$I$18</definedName>
    <definedName name="cotgreaveglopremcuptries">GLO!$E$18</definedName>
    <definedName name="Cotgreaveglopts">GLO!$G$18</definedName>
    <definedName name="Cotgreaveglotries">GLO!$B$18</definedName>
    <definedName name="Courtlipts">BRI!$G$13</definedName>
    <definedName name="Courtlitries">BRI!$B$13</definedName>
    <definedName name="Cousinsnorpts">NOR!#REF!</definedName>
    <definedName name="Cousinsnortries">NOR!#REF!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SAL!$G$11</definedName>
    <definedName name="Cowan_Dickiesaltries">SAL!$B$11</definedName>
    <definedName name="Cowanblairtries">BRI!#REF!</definedName>
    <definedName name="cowanbthpremcuppts">BTH!$I$11</definedName>
    <definedName name="cowanbthpremcuptries">BTH!$D$11</definedName>
    <definedName name="Cowanbthpts">BTH!$G$11</definedName>
    <definedName name="Cowanbthtries">BTH!$B$11</definedName>
    <definedName name="Cowanjimmypts">GLO!$G$50</definedName>
    <definedName name="Cowanjimmytries">GLO!$B$50</definedName>
    <definedName name="Cowanlipts">BRI!#REF!</definedName>
    <definedName name="Cowanpts">BRI!#REF!</definedName>
    <definedName name="Cowansarpts">NRB!#REF!</definedName>
    <definedName name="Cowansartries">NRB!#REF!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LEI!$G$10</definedName>
    <definedName name="Cracknellleitries">LEI!$B$10</definedName>
    <definedName name="Craignorpts">NOR!#REF!</definedName>
    <definedName name="Craignortries">NOR!#REF!</definedName>
    <definedName name="cranebripts">BRI!$G$13</definedName>
    <definedName name="Cranebritries">BRI!$B$13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ansarpts">SAR!#REF!</definedName>
    <definedName name="Creansartries">SAR!#REF!</definedName>
    <definedName name="Creevyagustinpts">#REF!</definedName>
    <definedName name="Creevyagustintries">#REF!</definedName>
    <definedName name="Crippsbripts">BRI!$G$12</definedName>
    <definedName name="Crippsbritries">BRI!$B$12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LEI!#REF!</definedName>
    <definedName name="Croninleitrie">LEI!#REF!</definedName>
    <definedName name="Crossdalesarpts">NRB!#REF!</definedName>
    <definedName name="Crossdalesarptscorrect">NRB!$G$14</definedName>
    <definedName name="Crossdalesartries">NRB!#REF!</definedName>
    <definedName name="Crossdalesartriescorrect">NRB!$B$14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owleyleipremcuppts">LEI!$I$11</definedName>
    <definedName name="crowleyleipremcuptries">LEI!$D$11</definedName>
    <definedName name="Crumptonharpts">HAR!#REF!</definedName>
    <definedName name="Crumptonhartries">HAR!#REF!</definedName>
    <definedName name="CruseNORpts">NOR!#REF!</definedName>
    <definedName name="CruseNORtries">NOR!#REF!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HAR!$G$12</definedName>
    <definedName name="Cunningham_Sthhartries">HAR!$B$12</definedName>
    <definedName name="Curry_Bsalpts">SAL!$G$12</definedName>
    <definedName name="Curry_Bsaltries">SAL!$B$12</definedName>
    <definedName name="Curry_Tsalpts">SAL!$G$13</definedName>
    <definedName name="Curry_Tsaltries">SAL!$B$13</definedName>
    <definedName name="Curtis_Harrislirpts">#REF!</definedName>
    <definedName name="Curtis_Harrislirtries">#REF!</definedName>
    <definedName name="CURTISSALATT">SAL!$M$5</definedName>
    <definedName name="CURTISSALGLS">SAL!$L$5</definedName>
    <definedName name="Curtissalpremcupatt">SAL!$M$28</definedName>
    <definedName name="Curtissalpremcupgls">SAL!$L$28</definedName>
    <definedName name="curtissalpremcuppts">SAL!$I$14</definedName>
    <definedName name="curtissalpremcuptries">SAL!$D$14</definedName>
    <definedName name="Curtissalpts">SAL!$G$14</definedName>
    <definedName name="Curtissaltries">SAL!$B$14</definedName>
    <definedName name="Curtiswaspts">#REF!</definedName>
    <definedName name="Curtiswastries">#REF!</definedName>
    <definedName name="Cusickbripts">BRI!#REF!</definedName>
    <definedName name="Cusickbritries">BRI!#REF!</definedName>
    <definedName name="Cusitersalpts">SAL!#REF!</definedName>
    <definedName name="Cusitersaltries">SAL!#REF!</definedName>
    <definedName name="Daltonnewpts">NRB!$G$15</definedName>
    <definedName name="Daltonnewtries">NRB!$B$15</definedName>
    <definedName name="Dalyelliotpts">#REF!</definedName>
    <definedName name="Dalyelliottries">#REF!</definedName>
    <definedName name="dalysarattcorrect">SAR!#REF!</definedName>
    <definedName name="dalysarglscorrect">SAR!#REF!</definedName>
    <definedName name="Dalysarptscorrect">SAR!$G$15</definedName>
    <definedName name="Dalysartriescorrect">SAR!$B$15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SAR!$G$16</definedName>
    <definedName name="Dansartries">SAR!$B$16</definedName>
    <definedName name="dasdsa">NRB!#REF!</definedName>
    <definedName name="Davidharpts">HAR!$G$13</definedName>
    <definedName name="Davidhartries">HAR!$B$13</definedName>
    <definedName name="Davidsonglopts">GLO!#REF!</definedName>
    <definedName name="Davidsonglotries">GLO!#REF!</definedName>
    <definedName name="Davidsonnewpts">#REF!</definedName>
    <definedName name="Davidsonnewtries">#REF!</definedName>
    <definedName name="DavidsonNORpts">NOR!$G$9</definedName>
    <definedName name="DavidsonNORtries">NOR!$B$9</definedName>
    <definedName name="Davidsonsarpremcuppts">SAR!$I$17</definedName>
    <definedName name="Davidsonsarpremcuptries">SAR!$D$17</definedName>
    <definedName name="Davidsonsarpts">SAR!$G$17</definedName>
    <definedName name="Davidsonsartrie">SAR!$B$17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BRI!#REF!</definedName>
    <definedName name="Daviesbritries">BRI!#REF!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remcuppts">GLO!$I$19</definedName>
    <definedName name="daviesglopremcuptries">GLO!$D$19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lpremcuppts">SAL!$I$15</definedName>
    <definedName name="daviessalpremcuptries">SAL!$D$15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Bruinnewpts">NRB!$G$16</definedName>
    <definedName name="de_Bruinnewtries">NRB!$B$16</definedName>
    <definedName name="De_Chavesleipts">LEI!#REF!</definedName>
    <definedName name="De_Chavesleitries">LEI!#REF!</definedName>
    <definedName name="de_ChavesNEWpts">NRB!$G$17</definedName>
    <definedName name="de_ChavesNEWtries">NRB!$B$17</definedName>
    <definedName name="de_Gl_villebthpremcupatt">BTH!$M$32</definedName>
    <definedName name="de_Gl_villebthpremcupgls">BTH!$L$32</definedName>
    <definedName name="de_Glanvillebthgls">BTH!$L$5</definedName>
    <definedName name="de_Haassarptscorrect">SAR!#REF!</definedName>
    <definedName name="de_Haassartriescorrect">SAR!#REF!</definedName>
    <definedName name="de_Jagersalpts">SAL!$G$15</definedName>
    <definedName name="de_Jagersaltries">SAL!$B$15</definedName>
    <definedName name="de_Jagersarpts">NRB!#REF!</definedName>
    <definedName name="de_Jagersartries">NRB!#REF!</definedName>
    <definedName name="de_Jonghwaspts">#REF!</definedName>
    <definedName name="de_Jonghwastries">#REF!</definedName>
    <definedName name="de_Klerksalgls">SAL!#REF!</definedName>
    <definedName name="de_Kockneilpts">NRB!#REF!</definedName>
    <definedName name="de_Kockneiltries">NRB!#REF!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BTH!$M$5</definedName>
    <definedName name="deglanvillebthpremcuppts">BTH!$I$12</definedName>
    <definedName name="deglanvillebthpremcuptries">BTH!$D$12</definedName>
    <definedName name="dehaassaratt">SAR!#REF!</definedName>
    <definedName name="dehaassargls">SAR!#REF!</definedName>
    <definedName name="deklerksalatt">SAL!#REF!</definedName>
    <definedName name="Delmasbthpts">BTH!$G$12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GLO!$G$21</definedName>
    <definedName name="Dentonglotries">GLO!$B$21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EXE!#REF!</definedName>
    <definedName name="Devotoexetries">EXE!#REF!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LEI!$G$12</definedName>
    <definedName name="Diaz_Bonilla_Jleictries">LEI!$B$12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NOR!$G$10</definedName>
    <definedName name="Dingwallnortries">NOR!$B$10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newpts">NRB!$G$18</definedName>
    <definedName name="Dohertynewtries">NRB!$B$18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HAR!$G$15</definedName>
    <definedName name="Dombrandthartries">HAR!$B$15</definedName>
    <definedName name="Donnelllirpts">#REF!</definedName>
    <definedName name="Donnelllirtries">#REF!</definedName>
    <definedName name="Donoghuebthpts">BTH!$G$13</definedName>
    <definedName name="Donoghuebthtries">BTH!$B$13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NRB!#REF!</definedName>
    <definedName name="DouglasNEWtries">NRB!#REF!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riscollharpremcuppts">HAR!$I$16</definedName>
    <definedName name="driscollharpremcuptries">HAR!$D$16</definedName>
    <definedName name="du_Plessissarpts">NRB!$G$19</definedName>
    <definedName name="du_Plessissartries">NRB!$B$19</definedName>
    <definedName name="du_Preez__JPsalpts">SAL!#REF!</definedName>
    <definedName name="du_Preez__JPsaltries">SAL!#REF!</definedName>
    <definedName name="du_Preez_Dsalpts">SAL!$G$16</definedName>
    <definedName name="du_Preez_Dsaltries">SAL!$B$16</definedName>
    <definedName name="du_Preez_J_Lsalpts">SAL!#REF!</definedName>
    <definedName name="du_Preez_J_Lsaltries">SAL!#REF!</definedName>
    <definedName name="du_Preez_Rsalpts">SAL!$G$17</definedName>
    <definedName name="du_Preez_Rsaltries">SAL!$B$17</definedName>
    <definedName name="du_Preezworpts">#REF!</definedName>
    <definedName name="du_Preezwortries">#REF!</definedName>
    <definedName name="du_Toitbthpts">BTH!$G$15</definedName>
    <definedName name="du_Toitbthtries">BTH!$B$15</definedName>
    <definedName name="dugdalealpremcuppts">SAL!$I$18</definedName>
    <definedName name="dugdalealpremcuptries">SAL!$D$18</definedName>
    <definedName name="Dugdalesalpts">SAL!$G$18</definedName>
    <definedName name="Dugdalesaltries">SAL!$B$18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GLO!#REF!</definedName>
    <definedName name="DunnGLOtries">GLO!#REF!</definedName>
    <definedName name="Dunntompts">BTH!$G$14</definedName>
    <definedName name="dupreezralpremcuppts">SAL!$I$17</definedName>
    <definedName name="dupreezralpremcuptries">SAL!$D$17</definedName>
    <definedName name="dupreezrsalpremcupatt">SAL!$M$29</definedName>
    <definedName name="dupreezrsalpremcupgls">SAL!$L$29</definedName>
    <definedName name="dupreezsalatt">SAL!$M$6</definedName>
    <definedName name="dupreezsalgls">SAL!$L$6</definedName>
    <definedName name="dupreezsalpts">SAL!$M$6</definedName>
    <definedName name="dwebaexepremcuppts">EXE!$I$10</definedName>
    <definedName name="dwebaexepremcuptries">EXE!$D$10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NRB!#REF!</definedName>
    <definedName name="Earlenathantries">NRB!#REF!</definedName>
    <definedName name="Earlsarpts">NRB!#REF!</definedName>
    <definedName name="Earlsarptscorrect">SAR!$G$18</definedName>
    <definedName name="Earlsartries">NRB!#REF!</definedName>
    <definedName name="Earlsartriescorrect">SAR!$B$18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BRI!#REF!</definedName>
    <definedName name="Edenbritries">BRI!#REF!</definedName>
    <definedName name="Edensarpts">SAR!#REF!</definedName>
    <definedName name="Edensartries">SAR!#REF!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_Giraudglopts">GLO!$G$20</definedName>
    <definedName name="Edwards_Giraudglotries">GLO!$B$20</definedName>
    <definedName name="edwardsgiraudglopremcuppts">GLO!$I$20</definedName>
    <definedName name="edwardsgiraudglopremcuptries">GLO!$D$20</definedName>
    <definedName name="edwardsharatt">HAR!#REF!</definedName>
    <definedName name="edwardshargls">HAR!#REF!</definedName>
    <definedName name="Edwardsharpts">HAR!$G$16</definedName>
    <definedName name="Edwardshartries">HAR!$B$16</definedName>
    <definedName name="Edwardsleicpts">LEI!#REF!</definedName>
    <definedName name="Edwardsleictries">LEI!#REF!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HAR!#REF!</definedName>
    <definedName name="Eliahartries">HAR!#REF!</definedName>
    <definedName name="elizaldebriatt">BRI!$M$4</definedName>
    <definedName name="elizaldebrigls">BRI!$L$4</definedName>
    <definedName name="Elizaldebritries">BRI!$B$14</definedName>
    <definedName name="Elizaldebtipts">BRI!$G$14</definedName>
    <definedName name="Ellerysarpts">NRB!#REF!</definedName>
    <definedName name="Ellerysartries">NRB!#REF!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SAR!$G$19</definedName>
    <definedName name="Elliottsartries">SAR!$B$19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lsharpremcuppts">HAR!$I$17</definedName>
    <definedName name="Elsharpremcuptries">HAR!$D$17</definedName>
    <definedName name="emensbthpremcuppts">BTH!$I$16</definedName>
    <definedName name="emensbthpremcuptries">BTH!$D$16</definedName>
    <definedName name="Emensbthpts">BTH!$G$16</definedName>
    <definedName name="Emensbthtries">BTH!$B$16</definedName>
    <definedName name="EneSALpts">SAL!$G$19</definedName>
    <definedName name="EneSALtries">SAL!$B$19</definedName>
    <definedName name="englefieldgloatt">GLO!$M$7</definedName>
    <definedName name="englefieldglogls">GLO!$L$7</definedName>
    <definedName name="Englefieldglopts">GLO!$G$22</definedName>
    <definedName name="Englefieldglotries">GLO!$B$22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HAR!#REF!</definedName>
    <definedName name="Esterhuizenhargls">HAR!#REF!</definedName>
    <definedName name="Esterhuizenharpts">HAR!#REF!</definedName>
    <definedName name="Esterhuizenhartries">HAR!#REF!</definedName>
    <definedName name="Evans_Jharpremcupatt">HAR!$M$29</definedName>
    <definedName name="Evans_Jharpremcupgls">HAR!$L$29</definedName>
    <definedName name="Evans_Jharpremcuppts">HAR!$I$18</definedName>
    <definedName name="Evans_Jharpremcuptries">HAR!$D$18</definedName>
    <definedName name="Evans_Jharpts">HAR!$B$18</definedName>
    <definedName name="Evans_Jharptscorrect">HAR!$G$18</definedName>
    <definedName name="Evans_Jhartries">HAR!$G$18</definedName>
    <definedName name="Evans_Jhartriescorrect">HAR!$B$18</definedName>
    <definedName name="Evans_Lglopts">GLO!$G$23</definedName>
    <definedName name="Evans_Lglotries">GLO!$B$23</definedName>
    <definedName name="Evans_Oharpts">HAR!$G$17</definedName>
    <definedName name="Evans_Ohartries">HAR!$B$17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HAR!$B$19</definedName>
    <definedName name="Evansleipts">LEI!#REF!</definedName>
    <definedName name="Evansleitries">LEI!#REF!</definedName>
    <definedName name="evanslgloatt">GLO!#REF!</definedName>
    <definedName name="evanslglogoals">GLO!#REF!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HAR!$G$19</definedName>
    <definedName name="Evanswillharpts">HAR!$G$19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BTH!$G$17</definedName>
    <definedName name="ewelsbthtries">BTH!$B$17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EXE!$G$49</definedName>
    <definedName name="ExeterTries">EXE!$B$49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NRB!#REF!</definedName>
    <definedName name="farrellgoals">NRB!#REF!</definedName>
    <definedName name="Farrellowentries">NRB!$B$23</definedName>
    <definedName name="Farrellpts">NRB!#REF!</definedName>
    <definedName name="farrellsarattcorrect">SAR!$M$7</definedName>
    <definedName name="Farrellsarattsecondspell">SAR!$M$6</definedName>
    <definedName name="farrellsarglscorrect">SAR!$L$7</definedName>
    <definedName name="Farrellsarglssecondspell">SAR!$L$6</definedName>
    <definedName name="Farrellsarpts">NRB!$G$23</definedName>
    <definedName name="Farrellsarptscorrect">SAR!$G$20</definedName>
    <definedName name="Farrellsarptssecondspell">SAR!$G$21</definedName>
    <definedName name="Farrellsartries">SAR!$B$21</definedName>
    <definedName name="farrellsartriescorrect">SAR!$B$20</definedName>
    <definedName name="Farrellsartriessecondspell">SAR!$B$21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NRB!#REF!</definedName>
    <definedName name="Fearnsnewtries">NRB!#REF!</definedName>
    <definedName name="Fenbylipts">BRI!$G$22</definedName>
    <definedName name="Fenbylitries">BRI!$B$22</definedName>
    <definedName name="Fenbypts">BRI!#REF!</definedName>
    <definedName name="Fenbysarpts">NRB!#REF!</definedName>
    <definedName name="Fenbysartries">NRB!#REF!</definedName>
    <definedName name="Fenbytries">BRI!#REF!</definedName>
    <definedName name="Fenton_Wellsbripts">BRI!#REF!</definedName>
    <definedName name="Fenton_Wellsbritries">BRI!#REF!</definedName>
    <definedName name="Fercusarpts">NRB!#REF!</definedName>
    <definedName name="Fercusarptscorrect">NRB!#REF!</definedName>
    <definedName name="Fercusartries">NRB!#REF!</definedName>
    <definedName name="Fercusartriescorrect">NRB!#REF!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NRB!#REF!</definedName>
    <definedName name="Figallosartries">NRB!#REF!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chettinorpts">NOR!$G$11</definedName>
    <definedName name="Fischettinortries">NOR!$B$11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NRB!#REF!</definedName>
    <definedName name="Flanagansartries">NRB!#REF!</definedName>
    <definedName name="fletchernrbpremcuppts">NRB!$I$20</definedName>
    <definedName name="fletchernrbpremcuptries">NRB!$D$20</definedName>
    <definedName name="floodatt">LEI!#REF!</definedName>
    <definedName name="floodgoals">LEI!#REF!</definedName>
    <definedName name="Floodnewpts">#REF!</definedName>
    <definedName name="Floodnewptscorrect">NRB!#REF!</definedName>
    <definedName name="Floodnewtries">#REF!</definedName>
    <definedName name="Floodnewtriescorrect">NRB!#REF!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GLO!$G$24</definedName>
    <definedName name="Ford_Robinsonglotries">GLO!$B$24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SAL!$G$20</definedName>
    <definedName name="Fordgeorgesaltries">SAL!$B$20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SAL!$M$7</definedName>
    <definedName name="fordsalgls">SAL!$L$7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BTH!$G$18</definedName>
    <definedName name="Fotuali_ibthtries">BTH!$B$18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BRI!#REF!</definedName>
    <definedName name="Fowlietompts">BRI!#REF!</definedName>
    <definedName name="Fowlietomtries">BRI!#REF!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BRI!#REF!</definedName>
    <definedName name="Frankslirtries">BRI!#REF!</definedName>
    <definedName name="Franksnorpts">NOR!#REF!</definedName>
    <definedName name="Franksnortries">NOR!#REF!</definedName>
    <definedName name="Frasersarpts">NRB!#REF!</definedName>
    <definedName name="Frasersartries">NRB!#REF!</definedName>
    <definedName name="Fraserwillpts">NRB!#REF!</definedName>
    <definedName name="Fraserwilltries">NRB!#REF!</definedName>
    <definedName name="Freemanexepts">EXE!#REF!</definedName>
    <definedName name="Freemanexetries">EXE!#REF!</definedName>
    <definedName name="Freemannorpts">NOR!$G$12</definedName>
    <definedName name="Freemannortries">NOR!$B$12</definedName>
    <definedName name="freemanpriceglopremcuppts">GLO!$I$25</definedName>
    <definedName name="freemanpriceglopremcuptries">GLO!$D$25</definedName>
    <definedName name="freemanpriceglopts">GLO!$G$25</definedName>
    <definedName name="freemanpriceglotries">GLO!$B$25</definedName>
    <definedName name="Frischbripts">BRI!$G$15</definedName>
    <definedName name="Frischbritries">BRI!$B$15</definedName>
    <definedName name="frostbthpremcuppts">BTH!$I$19</definedName>
    <definedName name="frostbthpremcuptries">BTH!$D$19</definedName>
    <definedName name="Frostexepts">EXE!#REF!</definedName>
    <definedName name="Frostexetries">EXE!#REF!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NOR!$M$5</definedName>
    <definedName name="furbanknorgls">NOR!$L$5</definedName>
    <definedName name="furbanknorpremcupatt">NOR!$M$33</definedName>
    <definedName name="Furbanknorpremcupgls">NOR!$L$33</definedName>
    <definedName name="furbanknorpremcuppts">NOR!$I$13</definedName>
    <definedName name="furbanknorpremcuptries">NOR!$D$13</definedName>
    <definedName name="Furbanknorpts">NOR!#REF!</definedName>
    <definedName name="Furbanknorptscorrect">NOR!$G$13</definedName>
    <definedName name="Furbanknortries">NOR!#REF!</definedName>
    <definedName name="Furbanknortriescorrect">NOR!$B$13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NRB!$G$20</definedName>
    <definedName name="Fusernewtries">NRB!$B$20</definedName>
    <definedName name="Galarzaglopts">GLO!$G$24</definedName>
    <definedName name="Galarzaglotries">GLO!$B$24</definedName>
    <definedName name="Galarzamarianopts">#REF!</definedName>
    <definedName name="Galarzamarianotries">#REF!</definedName>
    <definedName name="Gallaghersarpts">NRB!#REF!</definedName>
    <definedName name="Gallaghersartries">NRB!#REF!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NOR!#REF!</definedName>
    <definedName name="Garsidenortries">NOR!#REF!</definedName>
    <definedName name="Garveyglopts">GLO!#REF!</definedName>
    <definedName name="Garveyglotries">GLO!#REF!</definedName>
    <definedName name="Garveymattpts">BTH!$G$19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NRB!#REF!</definedName>
    <definedName name="Georgejamietriescorrect">NRB!#REF!</definedName>
    <definedName name="Georgepts">NRB!#REF!</definedName>
    <definedName name="Georgesarpts">NRB!$G$28</definedName>
    <definedName name="Georgesarptscorrect">SAR!$G$22</definedName>
    <definedName name="Georgesartries">NRB!$B$28</definedName>
    <definedName name="Georgesartriescorrect">SAR!$B$22</definedName>
    <definedName name="georgetries">NRB!#REF!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BRI!$G$38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NOR!$G$15</definedName>
    <definedName name="Gillespienortries">NOR!$B$15</definedName>
    <definedName name="Gillsarpts">NRB!#REF!</definedName>
    <definedName name="Gillsartries">NRB!#REF!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HAR!#REF!</definedName>
    <definedName name="Gjaltemahartries">HAR!#REF!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NOR!$G$14</definedName>
    <definedName name="GlisterNORtries">NOR!$B$14</definedName>
    <definedName name="gloucesterpentriespts">GLO!#REF!</definedName>
    <definedName name="GloucesterPenTriestries">GLO!#REF!</definedName>
    <definedName name="GloucesterPts">GLO!$G$53</definedName>
    <definedName name="GloucesterTries">GLO!$B$53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SAR!$G$23</definedName>
    <definedName name="Gonzalezsartries">SAR!$B$23</definedName>
    <definedName name="goodealexatt">NRB!#REF!</definedName>
    <definedName name="goodealexgoals">NRB!#REF!</definedName>
    <definedName name="Goodealexpts">NRB!#REF!</definedName>
    <definedName name="goodealextries">NRB!#REF!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SAR!#REF!</definedName>
    <definedName name="goodesarglscorrect">SAR!#REF!</definedName>
    <definedName name="Goodesarptscorrect">SAR!#REF!</definedName>
    <definedName name="Goodesartriescorrect">SAR!#REF!</definedName>
    <definedName name="Goodewaspts">#REF!</definedName>
    <definedName name="Goodewastries">#REF!</definedName>
    <definedName name="Goodhuecampts">#REF!</definedName>
    <definedName name="Goodhuecamtries">#REF!</definedName>
    <definedName name="Gordonnewpts">NRB!$G$21</definedName>
    <definedName name="Gordonnewtries">NRB!$B$21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BTH!#REF!</definedName>
    <definedName name="Grahambthtres">BTH!#REF!</definedName>
    <definedName name="Grahamnewpts">#REF!</definedName>
    <definedName name="Grahamnewtries">#REF!</definedName>
    <definedName name="grahamnorpremcuppts">NOR!$I$15</definedName>
    <definedName name="grahamnorpremcuptries">NOR!$D$15</definedName>
    <definedName name="grahamslawbripremcuppts">BRI!$I$16</definedName>
    <definedName name="grahamslawbripremcuptries">BRI!$D$16</definedName>
    <definedName name="Grahamslawbripts">BRI!$G$16</definedName>
    <definedName name="Grahamslawbritries">BRI!$B$16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EXE!$C$13</definedName>
    <definedName name="Grayexepts">EXE!$G$13</definedName>
    <definedName name="Grayexetries">EXE!$B$13</definedName>
    <definedName name="Grayharpts">HAR!#REF!</definedName>
    <definedName name="Grayhartries">HAR!#REF!</definedName>
    <definedName name="Grayjoeharpts">HAR!$G$20</definedName>
    <definedName name="Grayjoehartries">HAR!$B$20</definedName>
    <definedName name="Grayjoshglopts">GLO!#REF!</definedName>
    <definedName name="Grayjoshglotries">GLO!#REF!</definedName>
    <definedName name="Graypts">#REF!</definedName>
    <definedName name="Graysonnewatt">NRB!$M$6</definedName>
    <definedName name="Graysonnewgls">NRB!$L$6</definedName>
    <definedName name="Graysonnewpts">NRB!$G$22</definedName>
    <definedName name="Graysonnewtries">NRB!$B$22</definedName>
    <definedName name="graysonnoratt">NOR!#REF!</definedName>
    <definedName name="graysonnorgls">NOR!#REF!</definedName>
    <definedName name="Graysonnorpts">NOR!#REF!</definedName>
    <definedName name="Graysonnortries">NOR!#REF!</definedName>
    <definedName name="greenbthpremcuppts">BTH!$I$20</definedName>
    <definedName name="greenbthpremcuptries">BTH!$D$20</definedName>
    <definedName name="Greenbthpts">BTH!#REF!</definedName>
    <definedName name="Greenbthptscorrect">BTH!$G$20</definedName>
    <definedName name="Greenbthtries">BTH!#REF!</definedName>
    <definedName name="Greenbthtriescorrect">BTH!$B$20</definedName>
    <definedName name="Greenharpts">HAR!$G$22</definedName>
    <definedName name="Greenhartries">HAR!$B$22</definedName>
    <definedName name="Greennorpts">NOR!$G$16</definedName>
    <definedName name="Greennortries">NOR!$B$16</definedName>
    <definedName name="Griffinbthpts">BTH!$G$22</definedName>
    <definedName name="Griffinbthtries">BTH!$B$22</definedName>
    <definedName name="griffincbthpremcuppts">BTH!$I$23</definedName>
    <definedName name="griffincbthpremcuptries">BTH!$D$23</definedName>
    <definedName name="Griffinlipts">BRI!#REF!</definedName>
    <definedName name="Griffinlitries">BRI!#REF!</definedName>
    <definedName name="Griffithssarpts">NRB!#REF!</definedName>
    <definedName name="Griffithssartries">NRB!#REF!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_Bbripts">BRI!$G$17</definedName>
    <definedName name="Grondona_Bbritries">BRI!$B$17</definedName>
    <definedName name="Grondona_Sbripts">BRI!$G$18</definedName>
    <definedName name="Grondona_Sbritries">BRI!$B$18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gulleyexepremcuppts">EXE!$G$14</definedName>
    <definedName name="gulleyexepremcupptscorrect">EXE!$I$14</definedName>
    <definedName name="gulleyexepremcuptries">EXE!$D$14</definedName>
    <definedName name="Gulleyexepts">EXE!$G$14</definedName>
    <definedName name="Gulleyexeptscorrect">EXE!$G$14</definedName>
    <definedName name="Gulleyexetries">EXE!$B$14</definedName>
    <definedName name="gwilliambripremcup">BRI!$D$19</definedName>
    <definedName name="gwilliambripremcuppts">BRI!$I$19</definedName>
    <definedName name="gwilliambripremcuptries">BRI!$D$19</definedName>
    <definedName name="Gwilliambripts">BRI!$G$19</definedName>
    <definedName name="Gwilliambritries">BRI!$B$19</definedName>
    <definedName name="Hadfieldsarpts">SAR!$G$24</definedName>
    <definedName name="Hadfieldsartries">SAR!$B$24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BRI!$G$22</definedName>
    <definedName name="Hainingbritries">BRI!$B$22</definedName>
    <definedName name="Hala_ufiachrispts">BRI!#REF!</definedName>
    <definedName name="Hala_ufiachristries">BRI!#REF!</definedName>
    <definedName name="Halaifonuaglopts">GLO!$G$26</definedName>
    <definedName name="Halaifonuaglotries">GLO!$B$26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lfpennyharatt">HAR!#REF!</definedName>
    <definedName name="Halfpennyhargls">HAR!#REF!</definedName>
    <definedName name="Halfpennyharpts">HAR!#REF!</definedName>
    <definedName name="Halfpennyhartries">HAR!#REF!</definedName>
    <definedName name="Halliwellbripts">BRI!$G$20</definedName>
    <definedName name="Halliwellbritries">BRI!$B$20</definedName>
    <definedName name="hallsarpremcuppts">SAR!$I$25</definedName>
    <definedName name="hallsarpremcuptries">SAR!$D$25</definedName>
    <definedName name="Hallsarpts">SAR!$G$25</definedName>
    <definedName name="Hallsartries">SAR!$B$25</definedName>
    <definedName name="Hamiltonleipts">LEI!#REF!</definedName>
    <definedName name="Hamiltonleitries">LEI!#REF!</definedName>
    <definedName name="Hamiltonsarpts">NRB!#REF!</definedName>
    <definedName name="Hamiltonsartries">NRB!#REF!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SAL!#REF!</definedName>
    <definedName name="Hammersleysaltries">SAL!#REF!</definedName>
    <definedName name="Hammicksarpts">SAR!$G$26</definedName>
    <definedName name="Hammicksartries">SAR!$B$26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NRB!#REF!</definedName>
    <definedName name="Hankinmatttries">NRB!#REF!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nsonsalpremcuppts">SAL!$I$21</definedName>
    <definedName name="hansonsalpremcuptries">SAL!$D$21</definedName>
    <definedName name="Hardingbripts">BRI!$G$21</definedName>
    <definedName name="Hardingbritries">BRI!$B$21</definedName>
    <definedName name="Hardingwaspts">#REF!</definedName>
    <definedName name="Hardingwastries">#REF!</definedName>
    <definedName name="hardwickleicatt">LEI!#REF!</definedName>
    <definedName name="hardwickleicgls">LEI!#REF!</definedName>
    <definedName name="Hardwickleipts">LEI!#REF!</definedName>
    <definedName name="Hardwickleitries">LEI!#REF!</definedName>
    <definedName name="Hargreavessarpts">NRB!#REF!</definedName>
    <definedName name="Hargreavessartries">NRB!#REF!</definedName>
    <definedName name="harisbthatt">BTH!$M$6</definedName>
    <definedName name="HarlequinsPts">HAR!$G$53</definedName>
    <definedName name="HarlequinsTries">HAR!$B$53</definedName>
    <definedName name="harpersalpremcuppts">SAL!$I$22</definedName>
    <definedName name="harpersalpremcuptries">SAL!$D$22</definedName>
    <definedName name="Harpersalpts">SAL!$G$22</definedName>
    <definedName name="Harpersaltries">SAL!$B$22</definedName>
    <definedName name="Harris_Bwaspts">#REF!</definedName>
    <definedName name="Harris_Bwastries">#REF!</definedName>
    <definedName name="Harrisbthgls">BTH!$L$6</definedName>
    <definedName name="Harrisbthpts">BTH!$G$25</definedName>
    <definedName name="Harrisbthtries">BTH!$B$25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SAL!$G$21</definedName>
    <definedName name="Harrisonsaltris">SAL!$B$21</definedName>
    <definedName name="Harrisonsampts">LEI!$G$15</definedName>
    <definedName name="Harrisonsamtries">LEI!$B$15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NOR!#REF!</definedName>
    <definedName name="Hartleyptscorrect">NOR!#REF!</definedName>
    <definedName name="hartleysarpremcuppts">SAR!$I$27</definedName>
    <definedName name="hartleysarpremcuptries">SAR!$D$27</definedName>
    <definedName name="Hartleysarpts">SAR!$G$27</definedName>
    <definedName name="Hartleysartries">SAR!$B$27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HAR!$A$2:$E$53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LEI!$G$14</definedName>
    <definedName name="Hassell_CollinsLEItries">LEI!$B$14</definedName>
    <definedName name="Hassell_Collinslirpts">#REF!</definedName>
    <definedName name="Hassell_Collinslirtries">#REF!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GLO!#REF!</definedName>
    <definedName name="Hastingsglogls">GLO!#REF!</definedName>
    <definedName name="hathawayglopremcuppts">GLO!$I$27</definedName>
    <definedName name="hathawayglopremcuptries">GLO!$D$27</definedName>
    <definedName name="HathawayGLOpts">GLO!$G$27</definedName>
    <definedName name="HathawayGLOtries">GLO!$B$27</definedName>
    <definedName name="HatherellLEIpts">LEI!#REF!</definedName>
    <definedName name="HatherellLEItries">LEI!#REF!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exepremcupatt">EXE!$M$33</definedName>
    <definedName name="Haydon_Wexepremcupgls">EXE!$L$33</definedName>
    <definedName name="Haydon_WoodEXEtries">EXE!$B$16</definedName>
    <definedName name="Haydon_Woodnewgls">NRB!#REF!</definedName>
    <definedName name="Haydon_Woodnewpts">NRB!$G$24</definedName>
    <definedName name="Haydon_Woodnewtries">NRB!$B$24</definedName>
    <definedName name="HAYDONWOODEXEATT">EXE!$M$6</definedName>
    <definedName name="HAYDONWOODEXEGLS">EXE!$L$6</definedName>
    <definedName name="haydonwoodexepremcuppts">EXE!$I$16</definedName>
    <definedName name="haydonwoodexepremcuptries">EXE!$D$16</definedName>
    <definedName name="haydonwoodnewatt">NRB!#REF!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neyworpts">#REF!</definedName>
    <definedName name="Heaneywortries">#REF!</definedName>
    <definedName name="HearleGLOpts">GLO!#REF!</definedName>
    <definedName name="HearleGLOtries">GLO!#REF!</definedName>
    <definedName name="Hearlenewpts">NRB!$G$25</definedName>
    <definedName name="Hearlenewtries">NRB!$B$25</definedName>
    <definedName name="hearlenrbpremcuppts">NRB!$I$25</definedName>
    <definedName name="hearlenrbpremcuptries">NRB!$D$25</definedName>
    <definedName name="Hearleworpts">#REF!</definedName>
    <definedName name="Hearlewortries">#REF!</definedName>
    <definedName name="Hearnlirpts">BRI!$G$28</definedName>
    <definedName name="Hearnlirtries">BRI!$B$28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avenexepremcuppts">EXE!$I$17</definedName>
    <definedName name="heavenexepremcuptries">EXE!$D$17</definedName>
    <definedName name="Heavenexepts">EXE!$G$17</definedName>
    <definedName name="Heavenexetries">EXE!$B$17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EXE!#REF!</definedName>
    <definedName name="Hendricksonexetries">EXE!#REF!</definedName>
    <definedName name="Hendriksonexetries">EXE!#REF!</definedName>
    <definedName name="Hendynorpts">NOR!$G$17</definedName>
    <definedName name="Hendynortries">NOR!$B$17</definedName>
    <definedName name="hennesseybthpremcuppts">BTH!$I$26</definedName>
    <definedName name="hennesseybthpremcuptries">BTH!$D$26</definedName>
    <definedName name="HennesseyBTHpts">BTH!$G$26</definedName>
    <definedName name="HennesseyBTHtries">BTH!$B$26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EXE!#REF!</definedName>
    <definedName name="Hepburnexetries">EXE!#REF!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HAR!#REF!</definedName>
    <definedName name="Herbsthartries">HAR!#REF!</definedName>
    <definedName name="herronharatt">HAR!#REF!</definedName>
    <definedName name="Herronhargls">HAR!#REF!</definedName>
    <definedName name="Herronharpts">HAR!#REF!</definedName>
    <definedName name="Herronhartries">HAR!#REF!</definedName>
    <definedName name="Hewardbripts">BRI!$G$23</definedName>
    <definedName name="Hewardbritries">BRI!$B$23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SAL!$G$23</definedName>
    <definedName name="Hill_Jsaltries">SAL!$B$23</definedName>
    <definedName name="Hill_Samexetries">EXE!#REF!</definedName>
    <definedName name="Hill_Sexepts">EXE!#REF!</definedName>
    <definedName name="Hill_Ssamexepts">EXE!#REF!</definedName>
    <definedName name="Hillbthpts">BTH!$G$27</definedName>
    <definedName name="Hillbthtries">BTH!$B$27</definedName>
    <definedName name="Hillman_Cooperglopts">GLO!$G$28</definedName>
    <definedName name="Hillman_Cooperglotries">GLO!$B$28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bsonharpts">HAR!$G$23</definedName>
    <definedName name="Hobsonhartries">HAR!$B$23</definedName>
    <definedName name="Hodgeexeatt">EXE!$M$7</definedName>
    <definedName name="Hodgeexegls">EXE!$L$7</definedName>
    <definedName name="Hodgeexepts">EXE!$G$18</definedName>
    <definedName name="Hodgeexetries">EXE!$B$18</definedName>
    <definedName name="hodgsoncharlieatt">NRB!$M$5</definedName>
    <definedName name="Hodgsoncharliegoals">NRB!$L$5</definedName>
    <definedName name="Hodgsoncharliepts">NRB!#REF!</definedName>
    <definedName name="Hodgsoncharlietries">NRB!#REF!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NRB!$G$27</definedName>
    <definedName name="Hodgsonnewtriescorrect">NRB!$B$27</definedName>
    <definedName name="hodgsonnoratt">NOR!#REF!</definedName>
    <definedName name="hodgsonnorgoals">NOR!#REF!</definedName>
    <definedName name="Hodgsonnorpts">NOR!#REF!</definedName>
    <definedName name="Hodgsonnortries">NOR!#REF!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EXE!$G$19</definedName>
    <definedName name="holmesexetries">EXE!$B$19</definedName>
    <definedName name="Holmesjonahpts">#REF!</definedName>
    <definedName name="Holmesjonahtries">#REF!</definedName>
    <definedName name="Holmesleicpts">LEI!$G$16</definedName>
    <definedName name="Holmesleictries">LEI!$B$16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LEI!#REF!</definedName>
    <definedName name="Hortonleitries">LEI!#REF!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GLO!#REF!</definedName>
    <definedName name="Hudsonglotries">GLO!#REF!</definedName>
    <definedName name="Hudsonjamespts">GLO!#REF!</definedName>
    <definedName name="hudsonjamestries">GLO!#REF!</definedName>
    <definedName name="Hughesbripts">BRI!$G$24</definedName>
    <definedName name="Hughesbritries">BRI!$B$24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SAR!$G$28</definedName>
    <definedName name="Hunter_Hillsartriescorrect">SAR!$B$28</definedName>
    <definedName name="Hurdleicpts">LEI!$G$17</definedName>
    <definedName name="Hurdleictries">LEI!$B$17</definedName>
    <definedName name="Hurrellbstpts">BRI!#REF!</definedName>
    <definedName name="Hurrellbsttries">BRI!#REF!</definedName>
    <definedName name="hutchinsonnoratt">NOR!$M$6</definedName>
    <definedName name="hutchinsonnorgls">NOR!$L$6</definedName>
    <definedName name="Hutchinsonnorpts">NOR!$G$18</definedName>
    <definedName name="Hutchinsonnortries">NOR!$B$18</definedName>
    <definedName name="Hutchisonnrbpremcuppts">NRB!$I$26</definedName>
    <definedName name="Hutchisonnrbpremcuptries">NRB!$D$26</definedName>
    <definedName name="Hutchisonnrbpts">NRB!$G$26</definedName>
    <definedName name="Hutchisonnrbtries">NRB!$B$26</definedName>
    <definedName name="hydeharpremcuppts">HAR!$I$24</definedName>
    <definedName name="hydeharpremcuptries">HAR!$D$24</definedName>
    <definedName name="Hydeharpts">HAR!$G$24</definedName>
    <definedName name="Hydehartries">HAR!$B$24</definedName>
    <definedName name="ibitoyebriatt">BRI!$M$5</definedName>
    <definedName name="Ibitoyebrigls">BRI!$L$5</definedName>
    <definedName name="Ibitoyeharpts">HAR!$G$29</definedName>
    <definedName name="Ibitoyehartries">HAR!$B$29</definedName>
    <definedName name="Ibuanokpeharpts">HAR!#REF!</definedName>
    <definedName name="Ibuanokpehartries">HAR!#REF!</definedName>
    <definedName name="ilioneleipremcuppts">LEI!$I$18</definedName>
    <definedName name="ilioneleipremcuptries">LEI!$D$18</definedName>
    <definedName name="Ilioneleipts">LEI!$G$18</definedName>
    <definedName name="Ilioneleitries">LEI!$B$18</definedName>
    <definedName name="Ingallcharliepts">SAL!#REF!</definedName>
    <definedName name="Ingallcharlietries">SAL!#REF!</definedName>
    <definedName name="innardglopremcuptries">GLO!$D$28</definedName>
    <definedName name="innardglopremcuptriespts">GLO!$I$28</definedName>
    <definedName name="Ioanetjsalpts">SAL!#REF!</definedName>
    <definedName name="Ioanetjsaltries">SAL!#REF!</definedName>
    <definedName name="Iosefa_Scottexepts">EXE!$G$20</definedName>
    <definedName name="Iosefa_Scottexetries">EXE!$B$20</definedName>
    <definedName name="Irvinenorpts">NOR!$G$19</definedName>
    <definedName name="Irvinenortries">NOR!$B$19</definedName>
    <definedName name="Isaacsglopts">GLO!#REF!</definedName>
    <definedName name="Isaacsglotries">GLO!#REF!</definedName>
    <definedName name="Isgroharpts">HAR!$G$25</definedName>
    <definedName name="Isgrohartries">HAR!$B$25</definedName>
    <definedName name="isiekwenorpts">NOR!#REF!</definedName>
    <definedName name="Isiekwenortries">NOR!#REF!</definedName>
    <definedName name="Isiekwesarpts">NRB!#REF!</definedName>
    <definedName name="Isiekwesarptscorrect">SAR!$G$29</definedName>
    <definedName name="Isiekwesartries">NRB!#REF!</definedName>
    <definedName name="Isiekwesartriescorrect">SAR!$B$29</definedName>
    <definedName name="Itojesarpts">NRB!$G$37</definedName>
    <definedName name="Itojesarptscorrect">SAR!$G$30</definedName>
    <definedName name="Itojesartries">NRB!$B$37</definedName>
    <definedName name="Itojesartriescorrect">SAR!$B$30</definedName>
    <definedName name="Ivanishvilibripts">BRI!$G$25</definedName>
    <definedName name="Ivanishvilibritries">BRI!$B$25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remcuppts">SAR!$I$31</definedName>
    <definedName name="jacksonsarpremcuptries">SAR!$D$31</definedName>
    <definedName name="Jacksonsarpts">SAR!$G$31</definedName>
    <definedName name="Jacksonsartries">SAR!$B$31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SAL!$G$24</definedName>
    <definedName name="James_Lsaltries">SAL!$B$24</definedName>
    <definedName name="Jamesexepts">EXE!$G$21</definedName>
    <definedName name="Jamesexetries">EXE!$B$21</definedName>
    <definedName name="jamesgloppts">GLO!$G$29</definedName>
    <definedName name="jamesglopremcu">GLO!$G$29</definedName>
    <definedName name="jamesglopremcuppts">GLO!$I$29</definedName>
    <definedName name="jamesglopremcuptries">GLO!$D$29</definedName>
    <definedName name="jamesglotries">GLO!$B$29</definedName>
    <definedName name="jamesnoratt">NOR!$M$7</definedName>
    <definedName name="Jamesnorgls">NOR!$L$7</definedName>
    <definedName name="Jamesnorpts">NOR!$G$20</definedName>
    <definedName name="Jamesnortries">NOR!$B$20</definedName>
    <definedName name="Jamespaulpts">BTH!#REF!</definedName>
    <definedName name="Jamespaultries">BTH!#REF!</definedName>
    <definedName name="Jamespts">EXE!#REF!</definedName>
    <definedName name="Jamessalatt">SAL!#REF!</definedName>
    <definedName name="Jamessalgls">SAL!#REF!</definedName>
    <definedName name="Jamessalpts">SAL!$G$29</definedName>
    <definedName name="Jamessaltries">SAL!$B$29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LEI!$G$19</definedName>
    <definedName name="Jansenleitries">LEI!$B$19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BRI!$G$26</definedName>
    <definedName name="Jeffriesbritries">BRI!#REF!</definedName>
    <definedName name="Jeffriesbritriescorrect">BRI!$B$26</definedName>
    <definedName name="Jeffriesbstpts">BRI!#REF!</definedName>
    <definedName name="Jeffriesbsttries">BRI!#REF!</definedName>
    <definedName name="Jenkins_Dexepts">EXE!$G$22</definedName>
    <definedName name="Jenkins_Dexetries">EXE!$B$22</definedName>
    <definedName name="Jenkins_Iexepts">EXE!$G$23</definedName>
    <definedName name="Jenkins_Iexetries">EXE!$B$23</definedName>
    <definedName name="Jenkinsbripts">BRI!$G$27</definedName>
    <definedName name="Jenkinsbritries">BRI!$B$27</definedName>
    <definedName name="jenkinsiexeatt">EXE!$M$8</definedName>
    <definedName name="jenkinsiexegls">EXE!$L$8</definedName>
    <definedName name="jenkinsjbripremcuppts">BRI!$I$27</definedName>
    <definedName name="jenkinsjbripremcuptries">BRI!$D$27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NRB!#REF!</definedName>
    <definedName name="Jenningsnewgls">NRB!#REF!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HAR!#REF!</definedName>
    <definedName name="Jibuluhartries">HAR!#REF!</definedName>
    <definedName name="jibulusalpremcuppts">SAL!$I$25</definedName>
    <definedName name="jibulusalpremcuptries">SAL!$D$25</definedName>
    <definedName name="Jibulusalpts">SAL!$G$25</definedName>
    <definedName name="Jibulusaltries">SAL!$B$25</definedName>
    <definedName name="johnexepremcuppts">EXE!$I$24</definedName>
    <definedName name="johnexepremcuptries">EXE!$D$24</definedName>
    <definedName name="Johnexepts">EXE!$G$24</definedName>
    <definedName name="Johnexetries">EXE!$B$24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sarpremcupatt">SAR!$M$33</definedName>
    <definedName name="Johnsonsarpremcupgls">SAR!$L$33</definedName>
    <definedName name="johnsonsarpremcuppts">SAR!$I$32</definedName>
    <definedName name="johnsonsarpremcuptries">SAR!$D$32</definedName>
    <definedName name="Johnsonsarpts">SAR!$G$32</definedName>
    <definedName name="Johnsonsartries">SAR!$B$32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NRB!#REF!</definedName>
    <definedName name="Johnstonjamestries">NRB!#REF!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GLO!#REF!</definedName>
    <definedName name="Jones_MGLOtries">GLO!#REF!</definedName>
    <definedName name="Jonesadamharpts">HAR!#REF!</definedName>
    <definedName name="Jonesadamhartries">HAR!#REF!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HAR!#REF!</definedName>
    <definedName name="JonesHhartries">HAR!#REF!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eswynharpts">HAR!#REF!</definedName>
    <definedName name="Joneswynhartries">HAR!#REF!</definedName>
    <definedName name="Jonkerbthpts">BTH!#REF!</definedName>
    <definedName name="Jonkerbthtries">BTH!#REF!</definedName>
    <definedName name="jordanbriatt">BRI!$M$7</definedName>
    <definedName name="Jordanbrigls">BRI!$L$7</definedName>
    <definedName name="JordanBRIPTS">BRI!$G$29</definedName>
    <definedName name="JordanBRITRIES">BRI!$B$29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glopts">GLO!$G$31</definedName>
    <definedName name="Josephglotries">GLO!$B$31</definedName>
    <definedName name="JosephHARPTS">HAR!#REF!</definedName>
    <definedName name="JosephHARtries">HAR!#REF!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NRB!#REF!</definedName>
    <definedName name="Jouberternsttries">NRB!#REF!</definedName>
    <definedName name="Joussainleipts">LEI!#REF!</definedName>
    <definedName name="Joussainleitries">LEI!#REF!</definedName>
    <definedName name="Jubbtompts">NRB!#REF!</definedName>
    <definedName name="Jubbtomtries">NRB!#REF!</definedName>
    <definedName name="Judgebthpts">BTH!#REF!</definedName>
    <definedName name="Judgebthtries">BTH!#REF!</definedName>
    <definedName name="Judgesarpts">NRB!#REF!</definedName>
    <definedName name="Judgesartries">NRB!#REF!</definedName>
    <definedName name="Jureviciusharpts">HAR!$G$26</definedName>
    <definedName name="Jureviciushartries">HAR!$B$26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EXE!#REF!</definedName>
    <definedName name="Keastexetries">EXE!#REF!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llysalpts">SAL!$G$26</definedName>
    <definedName name="Kellysaltries">SAL!$B$26</definedName>
    <definedName name="Kemenynorpts">NOR!$G$21</definedName>
    <definedName name="Kemenynortries">NOR!$B$21</definedName>
    <definedName name="Kenninghamharpts">HAR!$G$27</definedName>
    <definedName name="Kenninghamhartries">HAR!$B$27</definedName>
    <definedName name="Kennyexepts">EXE!#REF!</definedName>
    <definedName name="Kennyexetries">EXE!#REF!</definedName>
    <definedName name="Kerrbripts">BRI!#REF!</definedName>
    <definedName name="Kerrbritries">BRI!#REF!</definedName>
    <definedName name="kerrharpremcupatt">HAR!$M$30</definedName>
    <definedName name="kerrharpremcupgls">HAR!$L$30</definedName>
    <definedName name="kerrharpremcuppts">HAR!$I$28</definedName>
    <definedName name="kerrharpremcuptries">HAR!$D$28</definedName>
    <definedName name="Kerrleicpts">LEI!#REF!</definedName>
    <definedName name="Kerrleictries">LEI!#REF!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eylocksarpremcuppts">SAR!$I$33</definedName>
    <definedName name="Keylocksarpremcuptries">SAR!$D$33</definedName>
    <definedName name="Keylocksarpts">SAR!$G$33</definedName>
    <definedName name="Keylocksartries">SAR!$B$33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kbthpts">BTH!$G$28</definedName>
    <definedName name="Kirkbthtries">BTH!$B$28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LEI!$G$20</definedName>
    <definedName name="Kitchenergrahamtriescorrect">LEI!$B$20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_Cglopts">GLO!$G$32</definedName>
    <definedName name="Knight_Cglotries">GLO!$B$32</definedName>
    <definedName name="Knight_Wglopts">GLO!$G$34</definedName>
    <definedName name="Knight_Wglotries">GLO!$B$34</definedName>
    <definedName name="Knightciaranglopts">GLO!$G$33</definedName>
    <definedName name="Knightciaranglotries">GLO!$B$33</definedName>
    <definedName name="Knightglopts">BTH!#REF!</definedName>
    <definedName name="Knightgloptscorrect">GLO!$G$36</definedName>
    <definedName name="Knightglotries">BTH!#REF!</definedName>
    <definedName name="Knightglotriescorrect">GLO!$B$36</definedName>
    <definedName name="knightmglopremcuppts">GLO!$I$33</definedName>
    <definedName name="knightmglopremcuptries">GLO!$D$33</definedName>
    <definedName name="Knightpts">GLO!#REF!</definedName>
    <definedName name="KnightSARpts">SAR!$G$34</definedName>
    <definedName name="KnightSARtries">SAR!$B$34</definedName>
    <definedName name="Knighttries">GLO!#REF!</definedName>
    <definedName name="knightwglopts">GLO!$I$34</definedName>
    <definedName name="knightwglotries">GLO!$D$34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poku__Jonathansarpts">NRB!$G$42</definedName>
    <definedName name="Kpoku__Jonathansartries">NRB!$B$42</definedName>
    <definedName name="Kpokusarpts">NRB!#REF!</definedName>
    <definedName name="Kpokusartries">NRB!#REF!</definedName>
    <definedName name="Krielglopts">GLO!$G$30</definedName>
    <definedName name="Krielglotries">GLO!$B$30</definedName>
    <definedName name="Kruisgeorgepts">NRB!#REF!</definedName>
    <definedName name="Kruisgeorgetries">NRB!#REF!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harpts">HAR!$G$30</definedName>
    <definedName name="Lamositelehartries">HAR!$B$30</definedName>
    <definedName name="Lamositelesarpts">NRB!$G$45</definedName>
    <definedName name="Lamositelesartries">NRB!$B$45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att">BRI!$M$8</definedName>
    <definedName name="lanebrigls">BRI!$L$8</definedName>
    <definedName name="Lanebripts">BRI!$G$32</definedName>
    <definedName name="Lanebritries">BRI!$B$32</definedName>
    <definedName name="Lanerichardpts">BTH!#REF!</definedName>
    <definedName name="Lanerichardtries">BTH!#REF!</definedName>
    <definedName name="Lanerichardtriescorrect">BTH!#REF!</definedName>
    <definedName name="LangdonNORpts">NOR!$G$23</definedName>
    <definedName name="LangdonNORtries">NOR!$B$23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NOR!#REF!</definedName>
    <definedName name="Lawesnortries">NOR!#REF!</definedName>
    <definedName name="Lawrencebthpts">BTH!$G$29</definedName>
    <definedName name="Lawrencebthtries">BTH!$B$29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BRI!$G$30</definedName>
    <definedName name="Laybritries">BRI!$B$30</definedName>
    <definedName name="Le_Bourgeoiswaspts">#REF!</definedName>
    <definedName name="Le_Bourgeoiswastries">#REF!</definedName>
    <definedName name="le_Rouxbthpts">BTH!$G$30</definedName>
    <definedName name="le_Rouxbthtries">BTH!$B$30</definedName>
    <definedName name="Le_Rouxwaspts">#REF!</definedName>
    <definedName name="Le_Rouxwastries">#REF!</definedName>
    <definedName name="Lee_Warnerbthpts">BTH!#REF!</definedName>
    <definedName name="Lee_Warnerbthtries">BTH!#REF!</definedName>
    <definedName name="Leesexepts">EXE!#REF!</definedName>
    <definedName name="Leesexetries">EXE!#REF!</definedName>
    <definedName name="LeicesterPts">LEI!$G$52</definedName>
    <definedName name="LeicesterTries">LEI!$B$52</definedName>
    <definedName name="leicspentriespts">LEI!$G$33</definedName>
    <definedName name="leicspentriestries">LEI!$B$33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nnonbripts">BRI!$G$33</definedName>
    <definedName name="Lennonbritries">BRI!$B$33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NRB!#REF!</definedName>
    <definedName name="Lewingtonsarptscorrect">SAR!#REF!</definedName>
    <definedName name="Lewingtonsartries">NRB!#REF!</definedName>
    <definedName name="Lewingtonsartriescorrect">SAR!#REF!</definedName>
    <definedName name="Lewingtontries">BRI!$B$30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HAR!$G$31</definedName>
    <definedName name="Lewisdavehartries">HAR!$B$31</definedName>
    <definedName name="Lewisdavepts">EXE!#REF!</definedName>
    <definedName name="Lewisdavetries">EXE!#REF!</definedName>
    <definedName name="Lewisharpts">HAR!#REF!</definedName>
    <definedName name="Lewishartries">HAR!#REF!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LEI!$G$22</definedName>
    <definedName name="Liebenbergleictries">LEI!$B$22</definedName>
    <definedName name="Lilleyexepts">EXE!$G$25</definedName>
    <definedName name="Lilleyexetries">EXE!$B$25</definedName>
    <definedName name="Lindsay_Haguenewpts">NRB!$G$29</definedName>
    <definedName name="Lindsay_Haguenewtries">NRB!$B$29</definedName>
    <definedName name="Lindsay_Hagueolliepts">HAR!#REF!</definedName>
    <definedName name="Lindsay_Hagueollietries">HAR!#REF!</definedName>
    <definedName name="Lindsaysarpts">NRB!#REF!</definedName>
    <definedName name="Lindsaysartries">NRB!#REF!</definedName>
    <definedName name="Lindsaywaspts">#REF!</definedName>
    <definedName name="Lindsaywastries">#REF!</definedName>
    <definedName name="Linegarbthpremcupatt">BTH!$M$34</definedName>
    <definedName name="Linegarbthpremcupgls">BTH!$L$34</definedName>
    <definedName name="linegarbthpremcuppts">BTH!$I$31</definedName>
    <definedName name="linegarbthpremcuptries">BTH!$D$31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NOR!$G$24</definedName>
    <definedName name="Litchfieldnortries">NOR!$B$24</definedName>
    <definedName name="llewellynglopremcuppts">GLO!$I$36</definedName>
    <definedName name="llewellynglopremcuptries">GLO!$D$36</definedName>
    <definedName name="Lloyd_Jbripts">BRI!#REF!</definedName>
    <definedName name="Lloyd_Jbritries">BRI!#REF!</definedName>
    <definedName name="LloydBriAtt">BRI!$M$6</definedName>
    <definedName name="LloydBriGls">BRI!$L$6</definedName>
    <definedName name="LloydBriPts">BRI!#REF!</definedName>
    <definedName name="LloydBriTries">BRI!#REF!</definedName>
    <definedName name="lloydjbriatt">BRI!#REF!</definedName>
    <definedName name="lloydjbrigls">BRI!#REF!</definedName>
    <definedName name="Lloydlirpts">BRI!$G$31</definedName>
    <definedName name="Lloydlirtries">BRI!$B$31</definedName>
    <definedName name="Loaderglopts">GLO!$G$37</definedName>
    <definedName name="Loaderglotries">GLO!$B$37</definedName>
    <definedName name="Loaderlirpts">BRI!#REF!</definedName>
    <definedName name="Loaderlirtries">BRI!#REF!</definedName>
    <definedName name="Loamanuleipts">LEI!#REF!</definedName>
    <definedName name="Loamanuleitries">LEI!#REF!</definedName>
    <definedName name="Lockettnorpts">NOR!$G$25</definedName>
    <definedName name="Lockettnortries">NOR!$B$25</definedName>
    <definedName name="lockwoodnrbpremcuppts">NRB!$I$29</definedName>
    <definedName name="lockwoodnrbpremcuptries">NRB!$D$29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NRB!#REF!</definedName>
    <definedName name="LongbottomsarptsCORRECT">NRB!#REF!</definedName>
    <definedName name="Longbottomsartries">NRB!#REF!</definedName>
    <definedName name="LongbottomsartriesCORRECT">NRB!#REF!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BRI!$B$30</definedName>
    <definedName name="Lowlipts">BRI!$G$30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SAR!$M$8</definedName>
    <definedName name="lozowskisarattcorrect">SAR!#REF!</definedName>
    <definedName name="lozowskisarglscorrect">SAR!$L$8</definedName>
    <definedName name="Lozowskisarptscorrect">SAR!$G$35</definedName>
    <definedName name="Lozowskisartriescorrect">SAR!$B$35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NRB!#REF!</definedName>
    <definedName name="Lucocknewtries">NRB!#REF!</definedName>
    <definedName name="Ludlamnorpts">NOR!#REF!</definedName>
    <definedName name="Ludlamnortries">NOR!#REF!</definedName>
    <definedName name="ludlowglopremcuppts">GLO!$I$38</definedName>
    <definedName name="ludlowglopremcuptries">GLO!$D$38</definedName>
    <definedName name="Ludlowglopts">GLO!$G$38</definedName>
    <definedName name="Ludlowglotries">GLO!$B$38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HAR!#REF!</definedName>
    <definedName name="Lynaghhartries">HAR!#REF!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NOR!#REF!</definedName>
    <definedName name="Ma_afusalesitries">NOR!#REF!</definedName>
    <definedName name="Maafunorpts">NOR!#REF!</definedName>
    <definedName name="Maafunortries">NOR!#REF!</definedName>
    <definedName name="macgintybriatt">BRI!$M$9</definedName>
    <definedName name="MacGintybrigls">BRI!$L$9</definedName>
    <definedName name="MacGintybripremcupatt">BRI!$M$36</definedName>
    <definedName name="MacGintybripremcupgls">BRI!$L$36</definedName>
    <definedName name="macgintybripremcuppts">BRI!$I$35</definedName>
    <definedName name="macgintybripremcuptries">BRI!$D$35</definedName>
    <definedName name="MacGintybripts">BRI!$G$35</definedName>
    <definedName name="MacGintybritries">BRI!$B$35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nrbpts">NRB!$G$30</definedName>
    <definedName name="Mafinrbtries">NRB!$B$30</definedName>
    <definedName name="Mafipts">LEI!#REF!</definedName>
    <definedName name="Mafistevepts">LEI!#REF!</definedName>
    <definedName name="Mafistevetriescorrect">LEI!#REF!</definedName>
    <definedName name="mafitries">LEI!#REF!</definedName>
    <definedName name="Maitlandsarpts">NRB!#REF!</definedName>
    <definedName name="Maitlandsarptscorrect">SAR!#REF!</definedName>
    <definedName name="Maitlandsartries">NRB!#REF!</definedName>
    <definedName name="Maitlandsartriescorrect">SAR!#REF!</definedName>
    <definedName name="Makepeace_Cubittnoratt">NOR!#REF!</definedName>
    <definedName name="Makepeace_Cubittnorgls">NOR!#REF!</definedName>
    <definedName name="malinsbriatt">BRI!#REF!</definedName>
    <definedName name="Malinsbrigls">BRI!#REF!</definedName>
    <definedName name="Malinsbripts">BRI!#REF!</definedName>
    <definedName name="Malinsbritries">BRI!#REF!</definedName>
    <definedName name="malinssaratt">NRB!#REF!</definedName>
    <definedName name="malinssarattcorrect">SAR!#REF!</definedName>
    <definedName name="malinssargls">NRB!#REF!</definedName>
    <definedName name="malinssarglscorrect">SAR!#REF!</definedName>
    <definedName name="malinssarpremcuppts">SAR!$I$36</definedName>
    <definedName name="malinssarpremcuptries">SAR!$D$36</definedName>
    <definedName name="Malinssarpts">NRB!$G$48</definedName>
    <definedName name="malinssarpts2ndspell">SAR!$G$36</definedName>
    <definedName name="Malinssarptscorrect">SAR!#REF!</definedName>
    <definedName name="Malinssartries">NRB!$B$48</definedName>
    <definedName name="Malinssartries2ndspell">SAR!$B$36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oneyexepts">EXE!$G$26</definedName>
    <definedName name="Maloneyexetries">EXE!$B$26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leicpts">LEI!$G$24</definedName>
    <definedName name="Manzleictries">LEI!$B$24</definedName>
    <definedName name="Maraisglopts">GLO!$G$40</definedName>
    <definedName name="Maraisglotries">GLO!$B$40</definedName>
    <definedName name="marchantharatt">HAR!$M$6</definedName>
    <definedName name="Marchanthargls">HAR!$L$6</definedName>
    <definedName name="Marchantharpts">HAR!#REF!</definedName>
    <definedName name="Marchanthartries">HAR!#REF!</definedName>
    <definedName name="Marfoharpts">HAR!$G$32</definedName>
    <definedName name="Marfohartries">HAR!$B$32</definedName>
    <definedName name="Marlerharpts">HAR!#REF!</definedName>
    <definedName name="Marlerpts">HAR!#REF!</definedName>
    <definedName name="marlertries">HAR!#REF!</definedName>
    <definedName name="MarmionBRIpts">BRI!$G$36</definedName>
    <definedName name="MarmionBRItries">BRI!$B$36</definedName>
    <definedName name="Marshallglopts">GLO!#REF!</definedName>
    <definedName name="marshallliratt">BRI!#REF!</definedName>
    <definedName name="marshalllirgls">BRI!#REF!</definedName>
    <definedName name="Marshalllirpts">BRI!$G$34</definedName>
    <definedName name="Marshalllirtries">BRI!$B$34</definedName>
    <definedName name="Marshallnorpts">NOR!#REF!</definedName>
    <definedName name="Marshallnortries">NOR!#REF!</definedName>
    <definedName name="Marshalltomglo">GLO!#REF!</definedName>
    <definedName name="Martinleicpts">LEI!$G$25</definedName>
    <definedName name="Martinleictries">LEI!$B$25</definedName>
    <definedName name="Masiwaspts">#REF!</definedName>
    <definedName name="Masiwastries">#REF!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NRB!#REF!</definedName>
    <definedName name="Matavesinewtriescorrect">NRB!#REF!</definedName>
    <definedName name="matavesinoratt">NOR!#REF!</definedName>
    <definedName name="matavesinorgls">NOR!#REF!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NOR!$G$26</definedName>
    <definedName name="Matthewsnortries">NOR!$B$26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EXE!$G$27</definedName>
    <definedName name="Maunder_Sexetries">EXE!$B$27</definedName>
    <definedName name="Maunderexepts">EXE!#REF!</definedName>
    <definedName name="Maunderexetries">EXE!#REF!</definedName>
    <definedName name="Mawisarptscorrect">SAR!$G$37</definedName>
    <definedName name="Mawisartriescorrect">SAR!$B$37</definedName>
    <definedName name="Mayglopts">GLO!#REF!</definedName>
    <definedName name="Mayhewlipts">BRI!#REF!</definedName>
    <definedName name="Mayhewlitries">BRI!#REF!</definedName>
    <definedName name="Mayhewrichardpts">#REF!</definedName>
    <definedName name="Mayhewrichardtries">#REF!</definedName>
    <definedName name="Mayleicpts">LEI!$G$29</definedName>
    <definedName name="Mayleictries">LEI!$B$29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GLO!#REF!</definedName>
    <definedName name="McBurney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NRB!$G$31</definedName>
    <definedName name="McCallumnewtries">NRB!$B$31</definedName>
    <definedName name="mccallumnrbpremcuppts">NRB!$I$31</definedName>
    <definedName name="mccallumnrbpremcuptries">NRB!$D$31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BTH!#REF!</definedName>
    <definedName name="McConnochiebthtries">BTH!#REF!</definedName>
    <definedName name="McCuskerlirpts">BRI!#REF!</definedName>
    <definedName name="McCuskerlirtries">BRI!#REF!</definedName>
    <definedName name="McDonaldNEWpts">NRB!$G$32</definedName>
    <definedName name="McDonaldNEWtries">NRB!$B$32</definedName>
    <definedName name="mcelroyalpremcuppts">SAL!$I$30</definedName>
    <definedName name="mcelroyalpremcuptries">SAL!$D$30</definedName>
    <definedName name="McElroysalpts">SAL!$G$30</definedName>
    <definedName name="McElroysaltries">SAL!$B$30</definedName>
    <definedName name="McFarlandsarptscorrect">SAR!$G$38</definedName>
    <definedName name="McFarlandsartriescorrect">SAR!$B$38</definedName>
    <definedName name="McGuiganexepts">EXE!#REF!</definedName>
    <definedName name="McGuiganexetries">EXE!#REF!</definedName>
    <definedName name="McGuiganglopts">GLO!#REF!</definedName>
    <definedName name="McGuiganglotries">GLO!#REF!</definedName>
    <definedName name="McGuigannewpts">#REF!</definedName>
    <definedName name="McGuigannewtries">#REF!</definedName>
    <definedName name="mcguigannrbpremcuppts">NRB!$I$32</definedName>
    <definedName name="mcguigannrbpremcuptries">NRB!$D$32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SAL!$G$31</definedName>
    <definedName name="McIntyresaltries">SAL!$B$31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BTH!$G$32</definedName>
    <definedName name="McNallybthtries">BTH!$B$32</definedName>
    <definedName name="McNallyjoshpts">#REF!</definedName>
    <definedName name="McNallyjoshtries">#REF!</definedName>
    <definedName name="McNallylirpts">BRI!$G$37</definedName>
    <definedName name="McNallylirtries">BRI!$B$37</definedName>
    <definedName name="McNultyharpts">HAR!#REF!</definedName>
    <definedName name="McNultyhartries">HAR!#REF!</definedName>
    <definedName name="McParlandNORpts">NOR!$G$27</definedName>
    <definedName name="McParlandNORtries">NOR!$B$27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GLO!#REF!</definedName>
    <definedName name="Meehanglotries">GLO!#REF!</definedName>
    <definedName name="Mehsonwaspts">#REF!</definedName>
    <definedName name="Mehsonwastries">#REF!</definedName>
    <definedName name="Melcksarpts">NRB!#REF!</definedName>
    <definedName name="Melcksartries">NRB!#REF!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LEI!#REF!</definedName>
    <definedName name="meredithleigls">LEI!#REF!</definedName>
    <definedName name="Meredithleipts">LEI!$G$27</definedName>
    <definedName name="Meredithleitries">LEI!$B$27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NRB!$G$35</definedName>
    <definedName name="Merricknewtries">NRB!$B$35</definedName>
    <definedName name="Metcalfnewpts">NRB!#REF!</definedName>
    <definedName name="Metcalfnewtries">NRB!#REF!</definedName>
    <definedName name="michelowsarpremcuppts">SAR!$I$40</definedName>
    <definedName name="michelowsarpremcuptries">SAR!$D$40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NOR!$G$28</definedName>
    <definedName name="Mitchellnortries">NOR!$B$28</definedName>
    <definedName name="mitchellnoryratt">NOR!$M$8</definedName>
    <definedName name="Mitchellnoryrgls">NOR!$L$8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NRB!#REF!</definedName>
    <definedName name="Montgomerynewtries">NRB!#REF!</definedName>
    <definedName name="Montgomeryworpts">#REF!</definedName>
    <definedName name="Montgomerywortries">#REF!</definedName>
    <definedName name="Montoyaleicpts">LEI!$G$31</definedName>
    <definedName name="Montoyaleictries">LEI!$B$31</definedName>
    <definedName name="Monyeugopts">HAR!#REF!</definedName>
    <definedName name="Monyeugotries">HAR!#REF!</definedName>
    <definedName name="Moon_Anortries">NOR!#REF!</definedName>
    <definedName name="Moonnorpts">NOR!#REF!</definedName>
    <definedName name="Moore_Aionosarpts">SAR!$G$41</definedName>
    <definedName name="Moore_Aionosartries">SAR!$B$41</definedName>
    <definedName name="Moorenrbpremcuppts">NRB!$I$33</definedName>
    <definedName name="Moorenrbpremcuptries">NRB!$D$33</definedName>
    <definedName name="Moorenrbpts">NRB!$G$33</definedName>
    <definedName name="Moorenrbtries">NRB!$B$33</definedName>
    <definedName name="Mooresalpts">SAL!#REF!</definedName>
    <definedName name="Mooresaltries">SAL!#REF!</definedName>
    <definedName name="Mooresarpts">SAR!$G$39</definedName>
    <definedName name="Mooresartries">SAR!$B$39</definedName>
    <definedName name="Moorewaspts">#REF!</definedName>
    <definedName name="Moorewastries">#REF!</definedName>
    <definedName name="Mordtnilspts">NRB!#REF!</definedName>
    <definedName name="mordtsaratt">NRB!#REF!</definedName>
    <definedName name="mordtsargoals">NRB!#REF!</definedName>
    <definedName name="Mordtsartries">NRB!#REF!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GLO!#REF!</definedName>
    <definedName name="Moriartyglotries">GLO!#REF!</definedName>
    <definedName name="morleyexeatt">EXE!#REF!</definedName>
    <definedName name="Morleyexegls">EXE!#REF!</definedName>
    <definedName name="moroleipremcuppts">LEI!$I$29</definedName>
    <definedName name="moroleipremcuptries">LEI!$D$29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GLO!#REF!</definedName>
    <definedName name="Morrisglotries">GLO!#REF!</definedName>
    <definedName name="Morrisharpts">HAR!#REF!</definedName>
    <definedName name="Morrishartries">HAR!#REF!</definedName>
    <definedName name="morrisjgloatt">GLO!$M$8</definedName>
    <definedName name="Morrisjglogls">GLO!$L$8</definedName>
    <definedName name="Morrisjglopts">GLO!$G$41</definedName>
    <definedName name="Morrisjglotries">GLO!$B$41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SAR!$G$40</definedName>
    <definedName name="Morrissartriescorrect">SAR!$B$40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ts">BTH!$G$34</definedName>
    <definedName name="Muirbthtries">BTH!$B$34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BRI!$G$38</definedName>
    <definedName name="MulchronelirtriesCORRECT">BRI!$B$38</definedName>
    <definedName name="Mulchronelitries">BRI!$B$38</definedName>
    <definedName name="Mulchronepts">BRI!#REF!</definedName>
    <definedName name="Mulchronetries">BRI!#REF!</definedName>
    <definedName name="Muldowneybripts">BRI!#REF!</definedName>
    <definedName name="Muldowneybritries">BRI!#REF!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ts">NOR!$G$29</definedName>
    <definedName name="MungaNORtries">NOR!$B$29</definedName>
    <definedName name="MunsterPts">[1]MUN!$F$55</definedName>
    <definedName name="MunsterTries">[1]MUN!$B$55</definedName>
    <definedName name="Murleyharpts">HAR!$G$33</definedName>
    <definedName name="Murleyhartries">HAR!$B$33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remcuppts">HAR!$I$34</definedName>
    <definedName name="murrayharpremcuptries">HAR!$D$34</definedName>
    <definedName name="Murrayharpts">HAR!$G$34</definedName>
    <definedName name="Murrayhartries">HAR!$B$34</definedName>
    <definedName name="Muskharpts">HAR!$G$35</definedName>
    <definedName name="Muskhartries">HAR!$B$35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BRI!$AG$44</definedName>
    <definedName name="Naysarpts">NRB!#REF!</definedName>
    <definedName name="Naysartries">NRB!#REF!</definedName>
    <definedName name="Nealwaspts">#REF!</definedName>
    <definedName name="Nealwastries">#REF!</definedName>
    <definedName name="Neildnewpts">NRB!$G$34</definedName>
    <definedName name="Neildnewtries">NRB!$B$34</definedName>
    <definedName name="Neildsalpts">SAL!$G$32</definedName>
    <definedName name="Neildsaltries">SAL!$B$32</definedName>
    <definedName name="Nelsonglopts">GLO!#REF!</definedName>
    <definedName name="Nelsonglotries">GLO!#REF!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ts">EXE!$G$28</definedName>
    <definedName name="Noreyexetries">EXE!$B$28</definedName>
    <definedName name="NorthamptonPts">NOR!$G$49</definedName>
    <definedName name="NorthamptonTries">NOR!$B$49</definedName>
    <definedName name="Northcote_Greenbthpts">BTH!#REF!</definedName>
    <definedName name="Northcote_Greenbthtries">BTH!#REF!</definedName>
    <definedName name="Northmoreharpts">HAR!$G$36</definedName>
    <definedName name="Northmorehartries">HAR!$B$36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leipts">LEI!$G$30</definedName>
    <definedName name="O_Connorleitries">LEI!$B$30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Donoghuebthpts">BTH!#REF!</definedName>
    <definedName name="O_Donoghuebthtries">BTH!#REF!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BTH!$G$35</definedName>
    <definedName name="Obanobthtries">BTH!$B$35</definedName>
    <definedName name="Obatoyinbonewpts">NRB!$G$36</definedName>
    <definedName name="Obatoyinbonewtries">NRB!$B$36</definedName>
    <definedName name="Obatoyinbosarptscorrect">SAR!#REF!</definedName>
    <definedName name="Obatoyinbosartriescorrect">SAR!#REF!</definedName>
    <definedName name="Obatoysarpts">NRB!#REF!</definedName>
    <definedName name="Obatoysartries">NRB!#REF!</definedName>
    <definedName name="Obonnanewpts">NRB!#REF!</definedName>
    <definedName name="Obonnanewtries">NRB!#REF!</definedName>
    <definedName name="oconnoratt">BRI!#REF!</definedName>
    <definedName name="oconnorgoals">BRI!#REF!</definedName>
    <definedName name="OConnorjamestries">BRI!#REF!</definedName>
    <definedName name="Odendaalnorpts">NOR!#REF!</definedName>
    <definedName name="Odendaalnortries">NOR!#REF!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donoghuebthatt">BTH!$M$7</definedName>
    <definedName name="odonoghuebthgls">BTH!$L$7</definedName>
    <definedName name="offiahbthpremcuppts">BTH!$I$36</definedName>
    <definedName name="offiahbthpremcuptries">BTH!$D$36</definedName>
    <definedName name="Offiahbthpts">BTH!$G$36</definedName>
    <definedName name="Offiahbthtries">BTH!$B$36</definedName>
    <definedName name="oflahertysalpremcuppts">SAL!$I$32</definedName>
    <definedName name="oflahertysalpremcuptries">SAL!$D$32</definedName>
    <definedName name="oghrebripremcuppts">BRI!$I$39</definedName>
    <definedName name="oghrebripremcuptries">BRI!$D$39</definedName>
    <definedName name="Oghrebripts">BRI!$G$39</definedName>
    <definedName name="Oghrebritries">BRI!$B$39</definedName>
    <definedName name="OjomohBTHPTS">BTH!$G$37</definedName>
    <definedName name="OjomohBTHTRIES">BTH!$B$37</definedName>
    <definedName name="Ojotopsypts">BRI!#REF!</definedName>
    <definedName name="Ojotopsytries">BRI!#REF!</definedName>
    <definedName name="OLE_LINK1" localSheetId="0">BTH!#REF!</definedName>
    <definedName name="Olowofela_Jleicpts">LEI!#REF!</definedName>
    <definedName name="Olowofela_Jleictries">LEI!#REF!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SAL!$G$34</definedName>
    <definedName name="OosthuizenSALtries">SAL!$B$34</definedName>
    <definedName name="Oresanyaharpts">HAR!#REF!</definedName>
    <definedName name="Oresanyahartries">HAR!#REF!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HAR!$G$37</definedName>
    <definedName name="Osbornehartries">HAR!$B$37</definedName>
    <definedName name="OspreysPts">[1]OSP!$F$50</definedName>
    <definedName name="OspreysTries">[1]OSP!$B$50</definedName>
    <definedName name="Ostrikovandreipts">SAL!#REF!</definedName>
    <definedName name="Ostrikovandreitries">SAL!$B$34</definedName>
    <definedName name="OStrikovsalpts">SAL!$G$34</definedName>
    <definedName name="Ovensjoshpts">BTH!#REF!</definedName>
    <definedName name="Ovensjoshtries">BTH!#REF!</definedName>
    <definedName name="owenbripremcuppts">BRI!$I$40</definedName>
    <definedName name="owenbripremcuptries">BRI!$D$40</definedName>
    <definedName name="OwenBRIpts">BRI!$G$40</definedName>
    <definedName name="OwenBRItries">BRI!$B$40</definedName>
    <definedName name="Owenleicpts">LEI!#REF!</definedName>
    <definedName name="Owenleictries">LEI!#REF!</definedName>
    <definedName name="Owennewptscorrect">NRB!$G$38</definedName>
    <definedName name="Owennewtriescorrect">NRB!$B$38</definedName>
    <definedName name="Packmanhowardpts">NOR!#REF!</definedName>
    <definedName name="Packmanhowardtries">NOR!#REF!</definedName>
    <definedName name="PaiceDavidpts">BRI!$AE$54</definedName>
    <definedName name="PaiceDavidptts">BRI!$AH$49</definedName>
    <definedName name="Painterexepts">EXE!$G$29</definedName>
    <definedName name="Painterexetries">EXE!$B$29</definedName>
    <definedName name="Painternorpts">NOR!#REF!</definedName>
    <definedName name="Painternortries">NOR!#REF!</definedName>
    <definedName name="Palamobrispts">BRI!$G$45</definedName>
    <definedName name="Palamobristries">BRI!$B$45</definedName>
    <definedName name="Palframannewpts">NRB!$G$39</definedName>
    <definedName name="Palframannewtries">NRB!$B$39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LEI!$G$32</definedName>
    <definedName name="Parlingleitries">LEI!$B$32</definedName>
    <definedName name="Parrmattpts">BRI!#REF!</definedName>
    <definedName name="Parrmatttries">BRI!#REF!</definedName>
    <definedName name="Parrybthpts">BTH!#REF!</definedName>
    <definedName name="Parrybthtries">BTH!#REF!</definedName>
    <definedName name="Parsonsnewpts">NRB!$G$40</definedName>
    <definedName name="Parsonsnewtries">NRB!$B$40</definedName>
    <definedName name="PartonSARpts">SAR!#REF!</definedName>
    <definedName name="PartonSARtries">SAR!#REF!</definedName>
    <definedName name="Pasconorpts">NOR!$G$30</definedName>
    <definedName name="Pasconortries">NOR!$B$30</definedName>
    <definedName name="Pasqualileipts">LEI!#REF!</definedName>
    <definedName name="Pasqualileitries">LEI!#REF!</definedName>
    <definedName name="paternoratt">NOR!$M$9</definedName>
    <definedName name="paternorgls">NOR!$L$9</definedName>
    <definedName name="Paternorpremcupatt">NOR!$M$34</definedName>
    <definedName name="Paternorpremcupgls">NOR!$L$34</definedName>
    <definedName name="paternorpremcuppts">NOR!$I$31</definedName>
    <definedName name="paternorpremcuptries">NOR!$D$31</definedName>
    <definedName name="Paternorpts">NOR!$G$31</definedName>
    <definedName name="Paternortries">NOR!$B$31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BRI!$G$49</definedName>
    <definedName name="paulolirtries">BRI!$B$49</definedName>
    <definedName name="pearcebripremcuppts">BRI!$I$41</definedName>
    <definedName name="pearcebripremcuptries">BRI!$D$41</definedName>
    <definedName name="Pearcebripts">BRI!$G$41</definedName>
    <definedName name="Pearcebritries">BRI!$B$41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remcuppts">EXE!$I$30</definedName>
    <definedName name="pearsonexepremcuptries">EXE!$D$30</definedName>
    <definedName name="Pearsonexepts">EXE!$G$30</definedName>
    <definedName name="Pearsonexetries">EXE!$B$30</definedName>
    <definedName name="pearsonleipremcuppts">LEI!$I$31</definedName>
    <definedName name="pearsonleipremcuptries">LEI!$D$31</definedName>
    <definedName name="Pearsonlirpts">#REF!</definedName>
    <definedName name="Pearsonlirtries">#REF!</definedName>
    <definedName name="PearsonNOR_pts">NOR!$G$32</definedName>
    <definedName name="PearsonNOR_tries">NOR!$B$32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BTH!$G$38</definedName>
    <definedName name="Penalty_Triesbripts">BRI!$G$42</definedName>
    <definedName name="Penalty_Triesbritries">BRI!$B$42</definedName>
    <definedName name="Penalty_Triesexepts">EXE!$G$31</definedName>
    <definedName name="Penalty_Triesexetries">EXE!$B$31</definedName>
    <definedName name="Penalty_Triesglopts">GLO!$G$42</definedName>
    <definedName name="Penalty_Triesglotries">GLO!$B$42</definedName>
    <definedName name="Penalty_Triesharpts">HAR!$G$38</definedName>
    <definedName name="Penalty_Trieshartries">HAR!$B$38</definedName>
    <definedName name="Penalty_Triesnewpts">#REF!</definedName>
    <definedName name="Penalty_Triesnewptscorrect">NRB!$G$41</definedName>
    <definedName name="Penalty_Triesnewtries">#REF!</definedName>
    <definedName name="Penalty_Triesnewtriescorrect">NRB!$B$41</definedName>
    <definedName name="Penalty_Triessaintspts">NOR!$G$33</definedName>
    <definedName name="Penalty_Triessaintstries">NOR!$B$33</definedName>
    <definedName name="Penalty_Triessalpts">SAL!$G$35</definedName>
    <definedName name="Penalty_Triessaltries">SAL!$B$35</definedName>
    <definedName name="Penalty_Triessarpts">NRB!#REF!</definedName>
    <definedName name="Penalty_Triessarptscorrect">SAR!$G$42</definedName>
    <definedName name="Penalty_Triessartries">NRB!#REF!</definedName>
    <definedName name="Penalty_Triessartriescorrect">SAR!$B$42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NRB!#REF!</definedName>
    <definedName name="Pennytnewtries">NRB!#REF!</definedName>
    <definedName name="Pepper_MNEWpts">NRB!#REF!</definedName>
    <definedName name="Pepper_MNEWtries">NRB!#REF!</definedName>
    <definedName name="Pepperbthpts">BTH!$G$39</definedName>
    <definedName name="Pepperbthtries">BTH!$B$39</definedName>
    <definedName name="Peppernewpts">NRB!#REF!</definedName>
    <definedName name="Peppernewtries">NRB!#REF!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NRB!#REF!</definedName>
    <definedName name="Perkinssartries">NRB!#REF!</definedName>
    <definedName name="Petchglopts">GLO!#REF!</definedName>
    <definedName name="Petchglotries">GLO!#REF!</definedName>
    <definedName name="Petelo_Mapunorpts">NOR!#REF!</definedName>
    <definedName name="Petelo_Mapunortries">NOR!#REF!</definedName>
    <definedName name="Petersnewpts">NRB!#REF!</definedName>
    <definedName name="Petersnewtries">NRB!#REF!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SAR!#REF!</definedName>
    <definedName name="Pifeletisartriescorrect">SAR!#REF!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LEI!#REF!</definedName>
    <definedName name="Pollardleicgls">LEI!#REF!</definedName>
    <definedName name="Polledriglopts">GLO!#REF!</definedName>
    <definedName name="Polledriglotries">GLO!#REF!</definedName>
    <definedName name="Pollocknorpts">NOR!$G$34</definedName>
    <definedName name="Pollocknortries">NOR!$B$34</definedName>
    <definedName name="Poreckilirpts">BRI!$G$51</definedName>
    <definedName name="Poreckilirptscorrect">#REF!</definedName>
    <definedName name="Poreckilirtries">BRI!$B$51</definedName>
    <definedName name="Poreckilirtriescorrect">#REF!</definedName>
    <definedName name="Porterharpts">HAR!$G$40</definedName>
    <definedName name="Porterhartries">HAR!$B$40</definedName>
    <definedName name="Porterleicpts">LEI!#REF!</definedName>
    <definedName name="Porterleictries">LEI!#REF!</definedName>
    <definedName name="PostlethwaiteEXEpts">EXE!$G$33</definedName>
    <definedName name="PostlethwaiteEXEtries">EXE!$B$33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LEIpts">LEI!#REF!</definedName>
    <definedName name="PowellLEItries">LEI!#REF!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HAR!$AC$43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NRB!#REF!</definedName>
    <definedName name="Qorowalenewtries">NRB!#REF!</definedName>
    <definedName name="quinspentriespts">HAR!$G$38</definedName>
    <definedName name="quinspentriestries">HAR!$B$38</definedName>
    <definedName name="Quirkesalpts">SAL!$G$36</definedName>
    <definedName name="Quirkesaltries">SAL!$B$36</definedName>
    <definedName name="Radradrabripts">BRI!#REF!</definedName>
    <definedName name="Radradrabritries">BRI!#REF!</definedName>
    <definedName name="Radwanleipts">LEI!$G$34</definedName>
    <definedName name="Radwanleitries">LEI!$B$34</definedName>
    <definedName name="Radwannewpts">#REF!</definedName>
    <definedName name="Radwannewptscorrect">NRB!#REF!</definedName>
    <definedName name="Radwannewtries">#REF!</definedName>
    <definedName name="Radwannewtriescorrect">NRB!#REF!</definedName>
    <definedName name="Ramageleicpts">LEI!#REF!</definedName>
    <definedName name="Ramageleictries">LEI!#REF!</definedName>
    <definedName name="rammnorpremcuppts">NOR!$I$36</definedName>
    <definedName name="rammnorpremcuptries">NOR!$D$36</definedName>
    <definedName name="Randallbripts">BRI!$G$45</definedName>
    <definedName name="Randallbritries">BRI!$B$45</definedName>
    <definedName name="Ransombenpts">NRB!#REF!</definedName>
    <definedName name="Ransombentries">NRB!#REF!</definedName>
    <definedName name="Ransomlirpts">BRI!#REF!</definedName>
    <definedName name="Ransomlirtries">BRI!#REF!</definedName>
    <definedName name="Rapava_Ruskinglopts">GLO!$G$43</definedName>
    <definedName name="Rapava_Ruskinglotries">GLO!$B$43</definedName>
    <definedName name="Rapava_Ruskinworpts">#REF!</definedName>
    <definedName name="Rapava_Ruskinwortries">#REF!</definedName>
    <definedName name="Ratuniyarawanorpts">NOR!$G$36</definedName>
    <definedName name="Ratuniyarawanortries">NOR!$B$36</definedName>
    <definedName name="Ravouvoubripts">BRI!$G$46</definedName>
    <definedName name="Ravouvoufijtries">BRI!$B$46</definedName>
    <definedName name="Rawacasarpts">NRB!#REF!</definedName>
    <definedName name="Rawacasartries">NRB!#REF!</definedName>
    <definedName name="Readsalpts">SAL!$G$37</definedName>
    <definedName name="Readsaltries">SAL!$B$37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BTH!$M$9</definedName>
    <definedName name="Redpathbthpts">BTH!$G$40</definedName>
    <definedName name="Redpathbthtries">BTH!$B$40</definedName>
    <definedName name="redpathsalatt">SAL!#REF!</definedName>
    <definedName name="redpathsalegls">SAL!#REF!</definedName>
    <definedName name="Redpathsalpts">SAL!#REF!</definedName>
    <definedName name="Redpathsaltries">SAL!#REF!</definedName>
    <definedName name="Rees_Zammitbripts">BRI!$G$47</definedName>
    <definedName name="Rees_Zammitbritries">BRI!$B$47</definedName>
    <definedName name="Rees_Zammitglopts">GLO!#REF!</definedName>
    <definedName name="Rees_Zammitglotries">GLO!#REF!</definedName>
    <definedName name="reeszammitbripremcuppts">BRI!$I$47</definedName>
    <definedName name="reeszammitbripremcuptries">BRI!$D$47</definedName>
    <definedName name="Reevesglopts">GLO!$G$44</definedName>
    <definedName name="Reevesglotries">GLO!$B$44</definedName>
    <definedName name="Reevesrickypts">#REF!</definedName>
    <definedName name="Reevesrickytries">#REF!</definedName>
    <definedName name="Reffellsarpts">NRB!#REF!</definedName>
    <definedName name="Reffellsarptscorrect">SAR!#REF!</definedName>
    <definedName name="Reffellsartries">NRB!#REF!</definedName>
    <definedName name="Reffellsartriescorrect">SAR!#REF!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EXE!$G$34</definedName>
    <definedName name="Reltonexetries">EXE!$B$34</definedName>
    <definedName name="repathbthgls">BTH!$L$9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NRB!#REF!</definedName>
    <definedName name="Rhodessartries">NRB!#REF!</definedName>
    <definedName name="Ribbansnorpts">NOR!#REF!</definedName>
    <definedName name="Ribbansnortries">NOR!#REF!</definedName>
    <definedName name="Riccionisarptscorrect">SAR!$G$43</definedName>
    <definedName name="Riccionisartriescorrect">SAR!$B$43</definedName>
    <definedName name="Richardsbthpts">BTH!$G$42</definedName>
    <definedName name="Richardsbthtries">BTH!$B$42</definedName>
    <definedName name="Richardsonleicpts">LEI!#REF!</definedName>
    <definedName name="Richardsonleictries">LEI!#REF!</definedName>
    <definedName name="ridlexepremcuppts">EXE!$I$32</definedName>
    <definedName name="ridlexepremcuptries">EXE!$D$32</definedName>
    <definedName name="Ridlexepts">EXE!$G$32</definedName>
    <definedName name="Ridlexetries">EXE!$B$32</definedName>
    <definedName name="Riederwaspts">#REF!</definedName>
    <definedName name="Riederwastries">#REF!</definedName>
    <definedName name="riggexepremcuppts">EXE!$I$33</definedName>
    <definedName name="riggexepremcuptries">EXE!$D$33</definedName>
    <definedName name="rileyharpremcuppts">HAR!$I$41</definedName>
    <definedName name="rileyharpremcuptries">HAR!$D$41</definedName>
    <definedName name="Rileysalpts">SAL!$G$38</definedName>
    <definedName name="Rileysaltries">SAL!$B$38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BTH!$G$41</definedName>
    <definedName name="Robertsbthtries">BTH!$B$41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salpremcuppts">SAL!$I$39</definedName>
    <definedName name="Robertssalpremcuptries">SAL!$D$39</definedName>
    <definedName name="Robertssalpts">SAL!$G$39</definedName>
    <definedName name="Robertssaltries">SAL!$B$39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SAL!$G$40</definedName>
    <definedName name="Roddsaltries">SAL!$B$40</definedName>
    <definedName name="Roebucksalpts">SAL!$G$41</definedName>
    <definedName name="Roebucksaltries">SAL!$B$41</definedName>
    <definedName name="Roetssalpts">SAL!#REF!</definedName>
    <definedName name="Roetssaltries">SAL!#REF!</definedName>
    <definedName name="Rogersnewpts">#REF!</definedName>
    <definedName name="Rogersnewtries">#REF!</definedName>
    <definedName name="RogersonLEIpts">LEI!$G$36</definedName>
    <definedName name="RogersonLEItries">LEI!$B$36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otseexepremcuppts">EXE!$I$35</definedName>
    <definedName name="rootseexepremcuptries">EXE!$D$35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uxbthprempts">BTH!$G$43</definedName>
    <definedName name="Rouxbthpremtries">BTH!$B$43</definedName>
    <definedName name="rouxbthtries">BTH!$C$43</definedName>
    <definedName name="Rowanglopts">GLO!#REF!</definedName>
    <definedName name="Rowanglotries">GLO!#REF!</definedName>
    <definedName name="Rowelirpts">#REF!</definedName>
    <definedName name="Rowelirtries">#REF!</definedName>
    <definedName name="rowernorpremcuppts">NOR!$I$37</definedName>
    <definedName name="rowernorpremcuptries">NOR!$D$37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NRB!#REF!</definedName>
    <definedName name="Rubiolonewtries">NRB!#REF!</definedName>
    <definedName name="Ruizlirpts">#REF!</definedName>
    <definedName name="Ruizlirtries">#REF!</definedName>
    <definedName name="Russellbthpts">BTH!$G$44</definedName>
    <definedName name="Russellbthtries">BTH!$B$44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SAL!$G$49</definedName>
    <definedName name="Saletries">SAL!$B$49</definedName>
    <definedName name="Salmonexepts">EXE!#REF!</definedName>
    <definedName name="Salmonexetries">EXE!#REF!</definedName>
    <definedName name="Salomonbripts">BRI!$G$48</definedName>
    <definedName name="Salomonbritries">BRI!$B$48</definedName>
    <definedName name="Salvijulianpts">LEI!$G$35</definedName>
    <definedName name="Salvijuliantries">LEI!$B$35</definedName>
    <definedName name="Sandfordjamespts">#REF!</definedName>
    <definedName name="Sandfordjamestries">#REF!</definedName>
    <definedName name="saracenspenaltytriespts">NRB!#REF!</definedName>
    <definedName name="saracenspenaltytriestries">NRB!#REF!</definedName>
    <definedName name="SaracensPts">NRB!$G$50</definedName>
    <definedName name="SaracensTries">NRB!$B$50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LEI!#REF!</definedName>
    <definedName name="Saumakileictries">LEI!#REF!</definedName>
    <definedName name="Saunderssarpts">NRB!#REF!</definedName>
    <definedName name="Saunderssartries">NRB!#REF!</definedName>
    <definedName name="Savageglopts">GLO!#REF!</definedName>
    <definedName name="Savageglotries">GLO!#REF!</definedName>
    <definedName name="savalanoratt">NOR!#REF!</definedName>
    <definedName name="Savalanorgls">NOR!#REF!</definedName>
    <definedName name="Savalanorpts">NOR!#REF!</definedName>
    <definedName name="Savalanortries">NOR!#REF!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EXE!$G$35</definedName>
    <definedName name="Schickerlingexetries">EXE!$B$35</definedName>
    <definedName name="Schmidharpts">HAR!$G$42</definedName>
    <definedName name="Schmidhartries">HAR!$B$42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BTH!#REF!</definedName>
    <definedName name="Schoemanbthtries">BTH!#REF!</definedName>
    <definedName name="Schofieldwelpts">#REF!</definedName>
    <definedName name="Schofieldweltries">#REF!</definedName>
    <definedName name="Schonertsalpts">SAL!#REF!</definedName>
    <definedName name="Schonertsaltries">SAL!#REF!</definedName>
    <definedName name="Schreuderbthpts">BTH!#REF!</definedName>
    <definedName name="Schreuderbthtries">BTH!#REF!</definedName>
    <definedName name="scolanorpremcuppts">NOR!$I$38</definedName>
    <definedName name="scolanorpremcuptries">NOR!$D$38</definedName>
    <definedName name="Scolanorpts">NOR!$G$38</definedName>
    <definedName name="Scolanortries">NOR!$B$38</definedName>
    <definedName name="Scotland_W_sonharpts">HAR!$G$41</definedName>
    <definedName name="Scotland_W_sonhartries">HAR!$B$41</definedName>
    <definedName name="ScotlandWilliamsonchristianpts">#REF!</definedName>
    <definedName name="ScotlandWilliamsonchristiantries">#REF!</definedName>
    <definedName name="Scott_Youngnorpts">NOR!$G$37</definedName>
    <definedName name="Scott_Youngnortries">NOR!$B$37</definedName>
    <definedName name="Scottglopts">GLO!#REF!</definedName>
    <definedName name="Scottglotries">GLO!#REF!</definedName>
    <definedName name="Scottleicpts">LEI!#REF!</definedName>
    <definedName name="Scottleictries">LEI!#REF!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LEI!$G$20</definedName>
    <definedName name="scullytries">LEI!#REF!</definedName>
    <definedName name="Seabrookglopts">GLO!#REF!</definedName>
    <definedName name="Seabrookglotries">GLO!#REF!</definedName>
    <definedName name="SeabrookNORpts">NOR!#REF!</definedName>
    <definedName name="SeabrookNORtries">NOR!#REF!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BTH!$M$10</definedName>
    <definedName name="Searlebthgls">BTH!$L$10</definedName>
    <definedName name="Searlebthpts">BTH!#REF!</definedName>
    <definedName name="Searlebthtries">BTH!#REF!</definedName>
    <definedName name="searleleiatt">LEI!$M$6</definedName>
    <definedName name="Searleleigls">LEI!$L$6</definedName>
    <definedName name="Searleleipremcupatt">LEI!$M$33</definedName>
    <definedName name="Searleleipremcupgls">LEI!$L$33</definedName>
    <definedName name="searleleipremcuppts">LEI!$I$36</definedName>
    <definedName name="searleleipremcuptries">LEI!$D$36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remcuppts">SAR!$I$44</definedName>
    <definedName name="segunsarpremcuptries">SAR!$D$44</definedName>
    <definedName name="Segunsarpts">NRB!#REF!</definedName>
    <definedName name="Segunsarptscorrect">SAR!$G$44</definedName>
    <definedName name="Segunsartries">NRB!#REF!</definedName>
    <definedName name="Segunsartriescorrect">SAR!$B$44</definedName>
    <definedName name="selabthpremcuppts">BTH!$I$45</definedName>
    <definedName name="selabthpremcuptries">BTH!$D$45</definedName>
    <definedName name="Selabthpts">BTH!$G$45</definedName>
    <definedName name="Selabthtries">BTH!$B$45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NRB!#REF!</definedName>
    <definedName name="Sheriffsartries">NRB!#REF!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LEI!$M$5</definedName>
    <definedName name="Shillcockleicgls">LEI!$L$5</definedName>
    <definedName name="ShillcockLEIpts">LEI!#REF!</definedName>
    <definedName name="ShillcockLEItries">LEI!#REF!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LEI!$G$37</definedName>
    <definedName name="Simmonsleictries">LEI!$B$37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SAR!$G$45</definedName>
    <definedName name="Simpson_Gsartries">SAR!$B$45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BRI!#REF!</definedName>
    <definedName name="Sinclairjebbtries">BRI!#REF!</definedName>
    <definedName name="Singletonsarpts">NRB!#REF!</definedName>
    <definedName name="Singletonsartries">NRB!#REF!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EXE!$G$36</definedName>
    <definedName name="Sioexetries">EXE!$B$36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NRB!#REF!</definedName>
    <definedName name="Skeltonsartries">NRB!#REF!</definedName>
    <definedName name="Skinner_Hexepts">EXE!$G$37</definedName>
    <definedName name="Skinner_Hexetries">EXE!$B$37</definedName>
    <definedName name="Skinnerexeatt">EXE!$M$10</definedName>
    <definedName name="Skinnerexegls">EXE!$L$10</definedName>
    <definedName name="Skinnerexepremcupatt">EXE!$M$36</definedName>
    <definedName name="Skinnerexepremcupgls">EXE!$L$36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EXE!$M$9</definedName>
    <definedName name="Sladeexepremcupatt">EXE!$M$37</definedName>
    <definedName name="Sladeexepremcupgls">EXE!$L$37</definedName>
    <definedName name="sladeexepremcuppts">EXE!$I$38</definedName>
    <definedName name="sladeexepremcuptries">EXE!$D$38</definedName>
    <definedName name="Sladeexepts">EXE!$G$38</definedName>
    <definedName name="Sladeexetries">EXE!$B$38</definedName>
    <definedName name="sladegoals">EXE!$L$9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remcuppts">NOR!$I$39</definedName>
    <definedName name="sleightholmenorpremcuptries">NOR!$D$39</definedName>
    <definedName name="Sleightholmenorpts">NOR!$G$39</definedName>
    <definedName name="Sleightholmenortries">NOR!$B$39</definedName>
    <definedName name="sleveinharpremcupatt">HAR!$M$31</definedName>
    <definedName name="SlevinHARatt">HAR!$M$8</definedName>
    <definedName name="SlevinHARgls">HAR!$L$8</definedName>
    <definedName name="SlevinHARglsPERCENT">HAR!$N$8</definedName>
    <definedName name="Slevinharpremcupgls">HAR!$L$31</definedName>
    <definedName name="slevinharpremcuppts">HAR!$I$43</definedName>
    <definedName name="slevinharpremcuptries">HAR!$D$43</definedName>
    <definedName name="Slevinharpts">HAR!$G$43</definedName>
    <definedName name="Slevinhartries">HAR!$B$43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NOR!$G$41</definedName>
    <definedName name="Smith_Rnortries">NOR!$B$41</definedName>
    <definedName name="Smithbripts">BRI!#REF!</definedName>
    <definedName name="Smithbritries">BRI!#REF!</definedName>
    <definedName name="smithharatt">HAR!$M$9</definedName>
    <definedName name="Smithhargls">HAR!$L$9</definedName>
    <definedName name="Smithharpts">HAR!$G$44</definedName>
    <definedName name="Smithhartries">HAR!$B$44</definedName>
    <definedName name="smithleeatt">#REF!</definedName>
    <definedName name="Smithleegoals">#REF!</definedName>
    <definedName name="Smithleepts">#REF!</definedName>
    <definedName name="Smithleicpts">LEI!$G$38</definedName>
    <definedName name="Smithleictries">LEI!$B$38</definedName>
    <definedName name="Smithleipts">LEI!#REF!</definedName>
    <definedName name="Smithleitries">LEI!#REF!</definedName>
    <definedName name="Smithnewtries">#REF!</definedName>
    <definedName name="smithnoratt">NOR!$M$10</definedName>
    <definedName name="Smithnorgls">NOR!$L$10</definedName>
    <definedName name="Smithrnewpts">NRB!$G$44</definedName>
    <definedName name="Smithrnewtries">NRB!$B$44</definedName>
    <definedName name="Smithrobbienewpts">NRB!$G$43</definedName>
    <definedName name="Smithrobbienewtries">NRB!$B$43</definedName>
    <definedName name="Smithsampts">HAR!#REF!</definedName>
    <definedName name="Smithsamtries">HAR!#REF!</definedName>
    <definedName name="Smithsarpts">NRB!#REF!</definedName>
    <definedName name="Smithsartries">NRB!#REF!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LEI!#REF!</definedName>
    <definedName name="Snymanleictries">LEI!#REF!</definedName>
    <definedName name="Socino_Snewpts">#REF!</definedName>
    <definedName name="Socino_Snewtries">#REF!</definedName>
    <definedName name="socinogloatt">GLO!#REF!</definedName>
    <definedName name="Socinoglogls">GLO!#REF!</definedName>
    <definedName name="Socinoglopts">GLO!#REF!</definedName>
    <definedName name="Socinoglotries">GLO!#REF!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andlerbthpts">BTH!$G$46</definedName>
    <definedName name="Spandlertbhtries">BTH!$B$46</definedName>
    <definedName name="spcncerbthgls">BTH!$L$11</definedName>
    <definedName name="Spencer_Bbthpts">BTH!$G$47</definedName>
    <definedName name="Spencer_Bbthtries">BTH!$B$47</definedName>
    <definedName name="Spencer_Wbthpts">BTH!#REF!</definedName>
    <definedName name="Spencer_Wbthtries">BTH!#REF!</definedName>
    <definedName name="spencerbenatt">NRB!#REF!</definedName>
    <definedName name="spencerbengoals">NRB!#REF!</definedName>
    <definedName name="Spencerbenpts">NRB!#REF!</definedName>
    <definedName name="Spencerbentries">NRB!#REF!</definedName>
    <definedName name="spencerbthatt">BTH!$M$11</definedName>
    <definedName name="Spencerleicpts">LEI!#REF!</definedName>
    <definedName name="Spencerleictries">LEI!#REF!</definedName>
    <definedName name="spencernrbpremcuppts">NRB!$I$44</definedName>
    <definedName name="spencernrbpremcuptries">NRB!$D$44</definedName>
    <definedName name="Spencersarpts">NRB!#REF!</definedName>
    <definedName name="Spencerwillpts">BTH!#REF!</definedName>
    <definedName name="Spencerwilltries">BTH!#REF!</definedName>
    <definedName name="spinksarpremcuppts">SAR!$I$46</definedName>
    <definedName name="spinksarpremcuptries">SAR!$D$46</definedName>
    <definedName name="Spurlingsarpts">NRB!#REF!</definedName>
    <definedName name="Spurlingsartries">NRB!#REF!</definedName>
    <definedName name="staddonbthpremcuppts">BTH!$I$48</definedName>
    <definedName name="staddonbthpremcuptries">BTH!$D$48</definedName>
    <definedName name="Stanleyglopts">GLO!$G$47</definedName>
    <definedName name="Stanleyglotries">GLO!$B$47</definedName>
    <definedName name="Staplesharpremcuppts">HAR!$I$45</definedName>
    <definedName name="Staplesharpremcuptries">HAR!$D$45</definedName>
    <definedName name="Staplesharpts">HAR!$G$45</definedName>
    <definedName name="Stapleshartries">HAR!$B$45</definedName>
    <definedName name="Stedmanolliepts">#REF!</definedName>
    <definedName name="Stedmanollietrie">#REF!</definedName>
    <definedName name="Steelelipts">BRI!$G$55</definedName>
    <definedName name="Steelelirpts">#REF!</definedName>
    <definedName name="Steelelirtries">#REF!</definedName>
    <definedName name="Steelelitries">BRI!$B$55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LEI!$G$39</definedName>
    <definedName name="Stevensleictries">LEI!$B$39</definedName>
    <definedName name="Stevenslipts">BRI!#REF!</definedName>
    <definedName name="Stevenslitries">BRI!#REF!</definedName>
    <definedName name="Stevensmattpts">NRB!#REF!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NRB!#REF!</definedName>
    <definedName name="stewardleicatt">LEI!$M$7</definedName>
    <definedName name="Stewardleicgls">LEI!$L$7</definedName>
    <definedName name="Stewartbthpts">BTH!$G$48</definedName>
    <definedName name="Stewartbthtries">BTH!$B$48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bthpts">BTH!#REF!</definedName>
    <definedName name="Stookebthtries">BTH!#REF!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BRI!$G$50</definedName>
    <definedName name="Strangbritries">BRI!$B$50</definedName>
    <definedName name="Streathertimpts">NRB!#REF!</definedName>
    <definedName name="Streathertimtries">NRB!#REF!</definedName>
    <definedName name="Streetexepts">EXE!#REF!</definedName>
    <definedName name="Streetexetries">EXE!#REF!</definedName>
    <definedName name="Strettlepts">NRB!#REF!</definedName>
    <definedName name="Strettlesarpts">NRB!#REF!</definedName>
    <definedName name="Strettlesarptscorrect">NRB!#REF!</definedName>
    <definedName name="Strettlesartries">NRB!#REF!</definedName>
    <definedName name="strettletries">NRB!#REF!</definedName>
    <definedName name="Strettllesartries">NRB!#REF!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BTH!$G$49</definedName>
    <definedName name="Stuartbthtries">BTH!$B$49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elsaratt">SAR!#REF!</definedName>
    <definedName name="Swielsargls">SAR!#REF!</definedName>
    <definedName name="Swielsarpts">SAR!#REF!</definedName>
    <definedName name="Swielsartries">SAR!#REF!</definedName>
    <definedName name="Swinsonsarptscorrect">SAR!$G$46</definedName>
    <definedName name="Swinsonsartriescorrect">SAR!$B$46</definedName>
    <definedName name="Sylvestersarpts">SAR!$G$47</definedName>
    <definedName name="Sylvestersartries">SAR!$B$47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NRB!#REF!</definedName>
    <definedName name="Tagicakibausartries">NRB!#REF!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HAR!#REF!</definedName>
    <definedName name="Tapuaihartries">HAR!#REF!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_Rglopts">GLO!#REF!</definedName>
    <definedName name="Taylor_Rglotries">GLO!#REF!</definedName>
    <definedName name="Taylorduncanpts">NRB!#REF!</definedName>
    <definedName name="Taylorduncantries">NRB!#REF!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NRB!#REF!</definedName>
    <definedName name="Taylorsarptscorrect">SAR!#REF!</definedName>
    <definedName name="Taylorsartries">NRB!#REF!</definedName>
    <definedName name="Taylorsartriescorrect">SAR!#REF!</definedName>
    <definedName name="Taylortommywaspts">#REF!</definedName>
    <definedName name="Taylortommywastries">#REF!</definedName>
    <definedName name="Taylortsalpts">SAL!#REF!</definedName>
    <definedName name="Taylortsaltries">SAL!#REF!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GLO!$G$46</definedName>
    <definedName name="Terryglotries">GLO!$B$46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ts">NOR!$G$43</definedName>
    <definedName name="ThameNORtries">NOR!$B$43</definedName>
    <definedName name="Theobald_Thomasleipts">LEI!$G$41</definedName>
    <definedName name="Theobold_Thomasleitries">LEI!$B$41</definedName>
    <definedName name="Thielsarpts">NRB!#REF!</definedName>
    <definedName name="Thielsartries">NRB!#REF!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alpremcuppts">SAL!$I$42</definedName>
    <definedName name="thomasalpremcuptries">SAL!$D$42</definedName>
    <definedName name="Thomasexepts">EXE!#REF!</definedName>
    <definedName name="Thomasexetries">EXE!#REF!</definedName>
    <definedName name="Thomasglopts">GLO!$G$48</definedName>
    <definedName name="Thomasglotries">GLO!$B$48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NRB!#REF!</definedName>
    <definedName name="thomasnewgls">NRB!#REF!</definedName>
    <definedName name="Thomasnewpts">NRB!#REF!</definedName>
    <definedName name="Thomasnewtries">NRB!#REF!</definedName>
    <definedName name="ThomasSALpts">SAL!$G$42</definedName>
    <definedName name="ThomasSALtries">SAL!$B$42</definedName>
    <definedName name="Thompson_Stringersarpts">NRB!#REF!</definedName>
    <definedName name="Thompson_Stringersartries">NRB!#REF!</definedName>
    <definedName name="Thompsonleicpts">LEI!#REF!</definedName>
    <definedName name="Thompsonleictries">LEI!#REF!</definedName>
    <definedName name="Thompsonleipts">LEI!$G$42</definedName>
    <definedName name="Thompsonleitries">LEI!$B$42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LEI!$B$20</definedName>
    <definedName name="Thorleyglopts">GLO!#REF!</definedName>
    <definedName name="Thorleygloptscorrect">GLO!$G$49</definedName>
    <definedName name="Thorleyglotries">GLO!#REF!</definedName>
    <definedName name="Thorleyglotriescorrect">GLO!$B$49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hrelfallleiatt">LEI!$M$8</definedName>
    <definedName name="threlfallleigls">LEI!$L$8</definedName>
    <definedName name="Threlfallleipts">LEI!$G$43</definedName>
    <definedName name="Threlfallleitries">LEI!$B$43</definedName>
    <definedName name="Tiesinewpts">#REF!</definedName>
    <definedName name="Tiesinewtries">#REF!</definedName>
    <definedName name="Tiffennewpts">NRB!$G$46</definedName>
    <definedName name="Tiffennewtries">NRB!$B$46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itcombeleipremcupatt">LEI!$M$35</definedName>
    <definedName name="titcombeleipremcupgls">LEI!$L$35</definedName>
    <definedName name="titcombeleipremcuppts">LEI!$I$44</definedName>
    <definedName name="titcombeleipremcuptries">LEI!$D$44</definedName>
    <definedName name="Tizardsarpts">SAR!$G$48</definedName>
    <definedName name="Tizardsartries">SAR!$B$48</definedName>
    <definedName name="Todaronorpts">NOR!$G$42</definedName>
    <definedName name="Todaronortries">NOR!$B$42</definedName>
    <definedName name="Tolofuasarpts">NRB!#REF!</definedName>
    <definedName name="Tolofuasartries">NRB!#REF!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NRB!#REF!</definedName>
    <definedName name="tomkinstries">NRB!#REF!</definedName>
    <definedName name="Tompkinsnickpts">NRB!#REF!</definedName>
    <definedName name="Tompkinsnicktries">NRB!#REF!</definedName>
    <definedName name="Tompkinssarpts">NRB!#REF!</definedName>
    <definedName name="Tompkinssarptscorrect">NRB!#REF!</definedName>
    <definedName name="Tompkinssarptscorrect2">SAR!$G$49</definedName>
    <definedName name="Tompkinssartries">NRB!#REF!</definedName>
    <definedName name="Tompkinssartriescorrect">SAR!$B$49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NOR!$G$40</definedName>
    <definedName name="Tonksnortries">NOR!$B$40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EXE!$G$39</definedName>
    <definedName name="Townsendexetries">EXE!$B$39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nholmglopremcuppts">GLO!$I$50</definedName>
    <definedName name="trenholmglopremcuptries">GLO!$D$50</definedName>
    <definedName name="Trevettbripts">BRI!$G$52</definedName>
    <definedName name="Trevettbritries">BRI!$B$52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GLO!$G$50</definedName>
    <definedName name="Trinderhenrypts">GLO!#REF!</definedName>
    <definedName name="Trinderpts">GLO!#REF!</definedName>
    <definedName name="trindertries">GLO!#REF!</definedName>
    <definedName name="Trindertriestries">GLO!$B$50</definedName>
    <definedName name="Tshiunzaexepts">EXE!$G$40</definedName>
    <definedName name="Tshiunzaexetries">EXE!$B$40</definedName>
    <definedName name="Tuaexepts">EXE!$G$41</definedName>
    <definedName name="Tuaexetries">EXE!$B$41</definedName>
    <definedName name="Tualanorpts">NOR!#REF!</definedName>
    <definedName name="TualaNORTRIES">NOR!#REF!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remcuppts">EXE!$I$42</definedName>
    <definedName name="tuimaexepremcuptries">EXE!$D$42</definedName>
    <definedName name="Tuimaexepts">EXE!$G$42</definedName>
    <definedName name="Tuimaexetries">EXE!$B$42</definedName>
    <definedName name="tuipulotubthpremcuppts">BTH!$I$50</definedName>
    <definedName name="tuipulotubthpremcuptries">BTH!$D$50</definedName>
    <definedName name="Tuipulotubthpts">BTH!$G$50</definedName>
    <definedName name="Tuipulotubthtries">BTH!$B$50</definedName>
    <definedName name="Tuipulotusarpts">SAR!$G$50</definedName>
    <definedName name="Tuipulotusartries">SAR!$B$50</definedName>
    <definedName name="Tuitavakenorpts">NOR!#REF!</definedName>
    <definedName name="Tuitavakenortries">NOR!#REF!</definedName>
    <definedName name="Tuitupousampts">SAL!$G$43</definedName>
    <definedName name="Tuitupousamtries">SAL!$B$43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urnerHARPTS">HAR!$G$48</definedName>
    <definedName name="TurnerHARTRIES">HAR!$B$48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BTH!$G$51</definedName>
    <definedName name="Underhillbthtries">BTH!$B$51</definedName>
    <definedName name="UrenBRITRIES">BRI!#REF!</definedName>
    <definedName name="Uzokwenewpts">#REF!</definedName>
    <definedName name="Uzokwenewtries">#REF!</definedName>
    <definedName name="Vailanusarpts">NRB!#REF!</definedName>
    <definedName name="Vailanusartries">NRB!#REF!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Flierleipts">LEI!$G$45</definedName>
    <definedName name="van_der_Flierleitries">LEI!$B$45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Meschtnorpts">NOR!$G$44</definedName>
    <definedName name="van_der_Meschtnortries">NOR!$B$44</definedName>
    <definedName name="van_der_Sluysexepts">EXE!$G$43</definedName>
    <definedName name="van_der_Sluysexetries">EXE!$B$43</definedName>
    <definedName name="van_Heerdenexepts">EXE!#REF!</definedName>
    <definedName name="van_Heerdenexetries">EXE!#REF!</definedName>
    <definedName name="van_Poortvlietleicpts">LEI!$G$46</definedName>
    <definedName name="van_Poortvlietleictries">LEI!$B$46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BTH!$G$53</definedName>
    <definedName name="van_Velzebthtries">BTH!$B$53</definedName>
    <definedName name="van_Velzegjpts">NOR!#REF!</definedName>
    <definedName name="van_Velzegjtries">NOR!#REF!</definedName>
    <definedName name="van_Vuurenbthpts">BTH!$G$54</definedName>
    <definedName name="van_Vuurenbthtries">BTH!$B$54</definedName>
    <definedName name="van_VuurenNEWpts">NRB!$G$47</definedName>
    <definedName name="van_VuurenNEWtries">NRB!$B$47</definedName>
    <definedName name="van_Wyk_Fleicpts">LEI!#REF!</definedName>
    <definedName name="van_Wyk_Fleictries">LEI!#REF!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SAR!$G$51</definedName>
    <definedName name="van_Zylsartriescorrect">SAR!$B$51</definedName>
    <definedName name="vanbredaworatt">#REF!</definedName>
    <definedName name="vanbredaworgls">#REF!</definedName>
    <definedName name="vandermeschtnorpremcuppts">NOR!$I$44</definedName>
    <definedName name="vandermeschtnorpremcuptries">NOR!$D$44</definedName>
    <definedName name="Vanesleicpts">LEI!$G$44</definedName>
    <definedName name="Vanesleictries">LEI!$B$44</definedName>
    <definedName name="vanzylsarpremcuppts">SAR!$I$51</definedName>
    <definedName name="vanzylsarpremcuptries">SAR!$D$51</definedName>
    <definedName name="Varndelltompts">#REF!</definedName>
    <definedName name="Varndelltomtries">#REF!</definedName>
    <definedName name="varneyexepremcuppts">EXE!$I$43</definedName>
    <definedName name="varneyexepremcuptries">EXE!$D$43</definedName>
    <definedName name="varneygloatt">GLO!#REF!</definedName>
    <definedName name="Varneyglogls">GLO!#REF!</definedName>
    <definedName name="Veainuleipts">LEI!#REF!</definedName>
    <definedName name="Veainuleitries">LEI!#REF!</definedName>
    <definedName name="Veainusalpts">SAL!#REF!</definedName>
    <definedName name="Veainusaltries">SAL!#REF!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ermeulensalpts">SAL!$G$44</definedName>
    <definedName name="Vermeulensaltries">SAL!$B$44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sagieglopts">GLO!#REF!</definedName>
    <definedName name="Visagieglotries">GLO!#REF!</definedName>
    <definedName name="Volavolaleiatt">LEI!#REF!</definedName>
    <definedName name="Volavolaleigls">LEI!#REF!</definedName>
    <definedName name="Volavolaleipts">LEI!#REF!</definedName>
    <definedName name="Volavolaleitries">LEI!#REF!</definedName>
    <definedName name="Vossleicpts">LEI!#REF!</definedName>
    <definedName name="Vossleictries">LEI!#REF!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NRB!#REF!</definedName>
    <definedName name="Vunipola__Makosarptscorrect">SAR!#REF!</definedName>
    <definedName name="Vunipola__Makosartries">NRB!#REF!</definedName>
    <definedName name="Vunipola__Makosartriescorrect">SAR!#REF!</definedName>
    <definedName name="Vunipola__Manusarptscorrect">SAR!#REF!</definedName>
    <definedName name="Vunipola__Manusartriescorrect">SAR!#REF!</definedName>
    <definedName name="Vunipola_Bsarpts">NRB!#REF!</definedName>
    <definedName name="Vunipola_Bsarptscorrect">SAR!#REF!</definedName>
    <definedName name="Vunipola_Bsartries">NRB!#REF!</definedName>
    <definedName name="Vunipola_Bsartriescorrect">SAR!#REF!</definedName>
    <definedName name="Vunipola_Msaratt">NRB!$M$7</definedName>
    <definedName name="Vunipola_Msargls">NRB!$L$7</definedName>
    <definedName name="Vunipola_Msarpts">NRB!#REF!</definedName>
    <definedName name="Vunipola_Msartries">NRB!#REF!</definedName>
    <definedName name="Vunipolabillypts">NRB!#REF!</definedName>
    <definedName name="vunipolabillytries">NRB!#REF!</definedName>
    <definedName name="Vunipolamakopts">NRB!#REF!</definedName>
    <definedName name="vunipolamakotries">NRB!#REF!</definedName>
    <definedName name="vunipolasarattcorrect">SAR!#REF!</definedName>
    <definedName name="vunipolasarglscorrect">SAR!#REF!</definedName>
    <definedName name="Vunisasarpts">NRB!#REF!</definedName>
    <definedName name="Vunisasartries">NRB!#REF!</definedName>
    <definedName name="Wacokecokenewpts">NRB!$G$49</definedName>
    <definedName name="Wacokecokenewtries">NRB!$B$49</definedName>
    <definedName name="Wadeglopts">GLO!#REF!</definedName>
    <definedName name="Wadeglotries">GLO!#REF!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ghornharpts">HAR!$G$49</definedName>
    <definedName name="Waghornhartries">HAR!$B$49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BTH!#REF!</definedName>
    <definedName name="Walkerbthtries">BTH!#REF!</definedName>
    <definedName name="Walkercharliehqtries">HAR!#REF!</definedName>
    <definedName name="Walkercharliepts">HAR!#REF!</definedName>
    <definedName name="walkerharpremcuppts">HAR!$I$50</definedName>
    <definedName name="walkerharpremcuptries">HAR!$D$50</definedName>
    <definedName name="Walkerharpts">HAR!$G$50</definedName>
    <definedName name="Walkerhartries">HAR!$B$50</definedName>
    <definedName name="Walkernewpts">NRB!#REF!</definedName>
    <definedName name="Walkernewtries">NRB!#REF!</definedName>
    <definedName name="Walkernorpts">NOR!$G$45</definedName>
    <definedName name="Walkernortries">NOR!$B$45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LEI!$G$47</definedName>
    <definedName name="Walshleitries">LEI!$B$47</definedName>
    <definedName name="wandleipremcuppts">LEI!$I$47</definedName>
    <definedName name="wandleipremcuptries">LEI!$D$47</definedName>
    <definedName name="Warddavepts">HAR!#REF!</definedName>
    <definedName name="warddavetries">HAR!#REF!</definedName>
    <definedName name="Wardglopts">GLO!$G$51</definedName>
    <definedName name="Wardglotries">GLO!$B$51</definedName>
    <definedName name="WarrSALatt">SAL!$M$8</definedName>
    <definedName name="WarrSALgls">SAL!$L$8</definedName>
    <definedName name="Warrsalpts">SAL!$G$45</definedName>
    <definedName name="Warrsaltries">SAL!$B$45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HAR!$G$52</definedName>
    <definedName name="Watershartries">HAR!$B$52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LEI!#REF!</definedName>
    <definedName name="Watsonleictries">LEI!#REF!</definedName>
    <definedName name="Watsonnewpts">#REF!</definedName>
    <definedName name="Watsonnewtriwes">#REF!</definedName>
    <definedName name="Watsonsarpts">NRB!#REF!</definedName>
    <definedName name="Watsonsartries">NRB!#REF!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SAL!$G$46</definedName>
    <definedName name="Webbersaltries">SAL!$B$46</definedName>
    <definedName name="Webbertries">BTH!#REF!</definedName>
    <definedName name="Weepuwelshpts">#REF!</definedName>
    <definedName name="Weepuwelshtries">#REF!</definedName>
    <definedName name="Weimannnorpts">NOR!$G$46</definedName>
    <definedName name="Weimannnortries">NOR!$B$46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LEI!$G$48</definedName>
    <definedName name="Wellsleictries">LEI!$B$48</definedName>
    <definedName name="Welshnewpts">#REF!</definedName>
    <definedName name="Welshnewtries">#REF!</definedName>
    <definedName name="Westbenpts">#REF!</definedName>
    <definedName name="Westbentries">#REF!</definedName>
    <definedName name="westonbriatt">BRI!$M$10</definedName>
    <definedName name="westonbrigls">BRI!$L$10</definedName>
    <definedName name="Westonbripremcupatt">BRI!$M$37</definedName>
    <definedName name="Westonbripremcupgls">BRI!$L$37</definedName>
    <definedName name="westonbripremcuppts">BRI!$I$53</definedName>
    <definedName name="westonbripremcuptries">BRI!$D$53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LEI!#REF!</definedName>
    <definedName name="Whiteleictries">LEI!#REF!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leiatt">LEI!$M$10</definedName>
    <definedName name="whiteleyleigls">LEI!$L$10</definedName>
    <definedName name="whiteleyleipremcuppts">LEI!$I$49</definedName>
    <definedName name="whiteleyleipremcuptries">LEI!$D$49</definedName>
    <definedName name="WhiteleyLEIpts">LEI!$G$49</definedName>
    <definedName name="WhiteleyLEItries">LEI!$B$49</definedName>
    <definedName name="whiteleysaratt">NRB!#REF!</definedName>
    <definedName name="Whiteleysargls">NRB!#REF!</definedName>
    <definedName name="Whiteleysarpts">NRB!#REF!</definedName>
    <definedName name="Whiteleysartries">NRB!#REF!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EXE!$G$44</definedName>
    <definedName name="Whittentries">EXE!$B$44</definedName>
    <definedName name="Wieseleicpts">LEI!$G$50</definedName>
    <definedName name="Wieseleictries">LEI!$B$50</definedName>
    <definedName name="Wigglesworthleictries">LEI!#REF!</definedName>
    <definedName name="Wigglesworthlicpts">LEI!#REF!</definedName>
    <definedName name="Wigglesworthrichardpts">NRB!#REF!</definedName>
    <definedName name="Wigglesworthrichardtries">NRB!#REF!</definedName>
    <definedName name="wigglesworthsaratt">NRB!#REF!</definedName>
    <definedName name="Wigglesworthsargoals">NRB!#REF!</definedName>
    <definedName name="Wiliamsnewtries">#REF!</definedName>
    <definedName name="Wilkinsnorpts">NOR!$G$48</definedName>
    <definedName name="Wilkinsnortries">NOR!$B$48</definedName>
    <definedName name="wilkinsonleicatt">LEI!#REF!</definedName>
    <definedName name="Wilkinsonleicgls">LEI!#REF!</definedName>
    <definedName name="WilkinsonLEIpts">LEI!#REF!</definedName>
    <definedName name="WilkinsonLEItrie">LEI!#REF!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NRB!#REF!</definedName>
    <definedName name="Willemsesartries">NRB!#REF!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BRI!$M$11</definedName>
    <definedName name="williamsbrigls">BRI!$L$11</definedName>
    <definedName name="Williamsbripts">BRI!$G$54</definedName>
    <definedName name="Williamsbritries">BRI!$B$54</definedName>
    <definedName name="Williamsexepts">EXE!$G$45</definedName>
    <definedName name="Williamsexetries">EXE!$B$45</definedName>
    <definedName name="williamsgloatt">GLO!$M$9</definedName>
    <definedName name="Williamsglogls">GLO!$L$9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LEI!#REF!</definedName>
    <definedName name="Williamsleitries">LEI!#REF!</definedName>
    <definedName name="Williamsliamsarpts">SAR!#REF!</definedName>
    <definedName name="Williamsliamsartries">SAR!#REF!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SAL!$G$48</definedName>
    <definedName name="Williamssaltries">SAL!$B$48</definedName>
    <definedName name="Williamssarpts">NRB!#REF!</definedName>
    <definedName name="Williamssartries">NRB!#REF!</definedName>
    <definedName name="Williamstomasglotries">GLO!$B$52</definedName>
    <definedName name="Williamstomosglopts">GLO!$G$52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son__Jamesbthgls">BTH!#REF!</definedName>
    <definedName name="Wilson__Jamesbthpts">BTH!#REF!</definedName>
    <definedName name="Wilson__Jamesbthptscorrect">BTH!#REF!</definedName>
    <definedName name="Wilson__Jamesbthtries">BTH!#REF!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Osarpts">SAR!$G$54</definedName>
    <definedName name="Wilson_Osartries">SAR!$B$54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NRB!#REF!</definedName>
    <definedName name="Wilsonjacktries">NRB!#REF!</definedName>
    <definedName name="Wilsonjacktriescorr">NRB!#REF!</definedName>
    <definedName name="Wilsonjacktriescorrect">NRB!#REF!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NRB!#REF!</definedName>
    <definedName name="Wilsonnewtries">NRB!#REF!</definedName>
    <definedName name="wilsonsalpremcuppts">SAL!$I$47</definedName>
    <definedName name="wilsonsalpremcuptries">SAL!$D$47</definedName>
    <definedName name="Wilsonsalpts">SAL!$G$47</definedName>
    <definedName name="Wilsonsaltries">SAL!$B$47</definedName>
    <definedName name="Wilsonsarpts">SAR!$G$52</definedName>
    <definedName name="Wilsonsartries">SAR!$B$52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heatnorpts">NOR!#REF!</definedName>
    <definedName name="Witheatnortries">NOR!#REF!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bripts">BRI!$G$56</definedName>
    <definedName name="Wolstenholmebritries">BRI!$B$56</definedName>
    <definedName name="Wolstenholmewaspts">#REF!</definedName>
    <definedName name="Wolstenholmewastries">#REF!</definedName>
    <definedName name="Wolstenhomewaspts">#REF!</definedName>
    <definedName name="Woodburnexepts">EXE!$G$46</definedName>
    <definedName name="Woodburnexetries">EXE!$B$46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remcupatt">LEI!$M$37</definedName>
    <definedName name="Woodwardleipremcupgls">LEI!$L$37</definedName>
    <definedName name="woodwardleipremcuppts">LEI!$I$51</definedName>
    <definedName name="woodwardleipremcuptries">LEI!$D$51</definedName>
    <definedName name="WoodwardLEIpts">LEI!$G$51</definedName>
    <definedName name="WoodwardLEItries">LEI!$B$51</definedName>
    <definedName name="Woolfordnorpts">NOR!#REF!</definedName>
    <definedName name="Woolfordnortries">NOR!#REF!</definedName>
    <definedName name="WoollettLEIpts">LEI!#REF!</definedName>
    <definedName name="WoollettLEItries">LEI!#REF!</definedName>
    <definedName name="Woolmoreexepts">EXE!#REF!</definedName>
    <definedName name="Woolmoreexetries">EXE!#REF!</definedName>
    <definedName name="WoolstencroftEurTries">SAR!$C$53</definedName>
    <definedName name="Woolstencroftsarpts">NRB!#REF!</definedName>
    <definedName name="Woolstencroftsarptscorrect">SAR!$G$53</definedName>
    <definedName name="Woolstencroftsartries">NRB!#REF!</definedName>
    <definedName name="Woolstencroftsartriescorrect">SAR!$B$53</definedName>
    <definedName name="Woolstencroftwaspts">#REF!</definedName>
    <definedName name="Woolstencroftwastries">#REF!</definedName>
    <definedName name="woratt">#REF!</definedName>
    <definedName name="worboysbthatt">BTH!#REF!</definedName>
    <definedName name="worboysbthgls">BTH!#REF!</definedName>
    <definedName name="Worboysbthpts">BTH!#REF!</definedName>
    <definedName name="WorboysBTHTRIES">BTH!#REF!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sleybripremcupatt">BRI!$M$39</definedName>
    <definedName name="Worsleybripremcupgls">BRI!$L$39</definedName>
    <definedName name="Worsleybripremcuppts">BRI!$I$57</definedName>
    <definedName name="Worsleybripremcuptries">BRI!$D$57</definedName>
    <definedName name="Worsleybripts">BRI!$G$57</definedName>
    <definedName name="Worsleybritries">BRI!$B$57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NRB!#REF!</definedName>
    <definedName name="Wrayjacksontries">NRB!#REF!</definedName>
    <definedName name="Wraysarptscorrect">SAR!#REF!</definedName>
    <definedName name="Wraysartriescorrect">SAR!#REF!</definedName>
    <definedName name="Wrightnewpts">NRB!#REF!</definedName>
    <definedName name="Wrightnewtries">NRB!#REF!</definedName>
    <definedName name="wrightnorpremcuppts">NOR!$I$48</definedName>
    <definedName name="wrightnorpremcuptries">NOR!$D$48</definedName>
    <definedName name="Wyattexepts">EXE!$G$47</definedName>
    <definedName name="Wyattexetries">EXE!$B$47</definedName>
    <definedName name="Wylespts">NRB!#REF!</definedName>
    <definedName name="wylestries">NRB!#REF!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EXE!$G$48</definedName>
    <definedName name="Yeandlejacktries">EXE!$B$48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LEI!$M$11</definedName>
    <definedName name="Youngsbenpts">LEI!#REF!</definedName>
    <definedName name="Youngsbenptscorrect">LEI!#REF!</definedName>
    <definedName name="youngsbentries">LEI!#REF!</definedName>
    <definedName name="youngsbgoals">LEI!$L$11</definedName>
    <definedName name="youngstompts">LEI!#REF!</definedName>
    <definedName name="youngstomtries">LEI!#REF!</definedName>
    <definedName name="Youngwaspts">#REF!</definedName>
    <definedName name="Youngwastries">#REF!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1" i="14" l="1"/>
  <c r="H111" i="14"/>
  <c r="G111" i="14"/>
  <c r="J111" i="14" s="1"/>
  <c r="D111" i="14"/>
  <c r="C111" i="14"/>
  <c r="B111" i="14"/>
  <c r="J110" i="14"/>
  <c r="E110" i="14"/>
  <c r="J109" i="14"/>
  <c r="E109" i="14"/>
  <c r="J79" i="14"/>
  <c r="E77" i="14"/>
  <c r="J78" i="14"/>
  <c r="E76" i="14"/>
  <c r="J108" i="14"/>
  <c r="E108" i="14"/>
  <c r="J71" i="14"/>
  <c r="E69" i="14"/>
  <c r="J69" i="14"/>
  <c r="E66" i="14"/>
  <c r="J107" i="14"/>
  <c r="E107" i="14"/>
  <c r="J77" i="14"/>
  <c r="E75" i="14"/>
  <c r="J106" i="14"/>
  <c r="E106" i="14"/>
  <c r="J68" i="14"/>
  <c r="E65" i="14"/>
  <c r="J105" i="14"/>
  <c r="E105" i="14"/>
  <c r="J72" i="14"/>
  <c r="E74" i="14"/>
  <c r="J89" i="14"/>
  <c r="E87" i="14"/>
  <c r="J76" i="14"/>
  <c r="E73" i="14"/>
  <c r="J104" i="14"/>
  <c r="E104" i="14"/>
  <c r="J70" i="14"/>
  <c r="E68" i="14"/>
  <c r="J103" i="14"/>
  <c r="E103" i="14"/>
  <c r="J63" i="14"/>
  <c r="E61" i="14"/>
  <c r="J102" i="14"/>
  <c r="E102" i="14"/>
  <c r="J101" i="14"/>
  <c r="E101" i="14"/>
  <c r="J88" i="14"/>
  <c r="E86" i="14"/>
  <c r="J65" i="14"/>
  <c r="E100" i="14"/>
  <c r="J67" i="14"/>
  <c r="E64" i="14"/>
  <c r="J100" i="14"/>
  <c r="E99" i="14"/>
  <c r="J87" i="14"/>
  <c r="E85" i="14"/>
  <c r="J99" i="14"/>
  <c r="E98" i="14"/>
  <c r="J86" i="14"/>
  <c r="E84" i="14"/>
  <c r="J98" i="14"/>
  <c r="E97" i="14"/>
  <c r="J85" i="14"/>
  <c r="E83" i="14"/>
  <c r="J84" i="14"/>
  <c r="E82" i="14"/>
  <c r="J64" i="14"/>
  <c r="E62" i="14"/>
  <c r="J97" i="14"/>
  <c r="E96" i="14"/>
  <c r="J59" i="14"/>
  <c r="E95" i="14"/>
  <c r="J96" i="14"/>
  <c r="E94" i="14"/>
  <c r="J95" i="14"/>
  <c r="E93" i="14"/>
  <c r="J75" i="14"/>
  <c r="E72" i="14"/>
  <c r="J83" i="14"/>
  <c r="E81" i="14"/>
  <c r="J66" i="14"/>
  <c r="E63" i="14"/>
  <c r="J94" i="14"/>
  <c r="E92" i="14"/>
  <c r="J82" i="14"/>
  <c r="E80" i="14"/>
  <c r="J93" i="14"/>
  <c r="E91" i="14"/>
  <c r="J74" i="14"/>
  <c r="E71" i="14"/>
  <c r="J81" i="14"/>
  <c r="E79" i="14"/>
  <c r="J60" i="14"/>
  <c r="E59" i="14"/>
  <c r="J61" i="14"/>
  <c r="E67" i="14"/>
  <c r="J92" i="14"/>
  <c r="E90" i="14"/>
  <c r="J91" i="14"/>
  <c r="E89" i="14"/>
  <c r="J62" i="14"/>
  <c r="E60" i="14"/>
  <c r="J73" i="14"/>
  <c r="E70" i="14"/>
  <c r="J90" i="14"/>
  <c r="E88" i="14"/>
  <c r="J80" i="14"/>
  <c r="E78" i="14"/>
  <c r="I107" i="4"/>
  <c r="H107" i="4"/>
  <c r="G107" i="4"/>
  <c r="J107" i="4" s="1"/>
  <c r="D107" i="4"/>
  <c r="C107" i="4"/>
  <c r="B107" i="4"/>
  <c r="E107" i="4" s="1"/>
  <c r="J106" i="4"/>
  <c r="E106" i="4"/>
  <c r="J105" i="4"/>
  <c r="E105" i="4"/>
  <c r="J67" i="4"/>
  <c r="E66" i="4"/>
  <c r="J104" i="4"/>
  <c r="E104" i="4"/>
  <c r="J87" i="4"/>
  <c r="E86" i="4"/>
  <c r="J73" i="4"/>
  <c r="E71" i="4"/>
  <c r="J103" i="4"/>
  <c r="E103" i="4"/>
  <c r="J86" i="4"/>
  <c r="E85" i="4"/>
  <c r="J57" i="4"/>
  <c r="E65" i="4"/>
  <c r="J74" i="4"/>
  <c r="E102" i="4"/>
  <c r="J102" i="4"/>
  <c r="E101" i="4"/>
  <c r="J66" i="4"/>
  <c r="E64" i="4"/>
  <c r="J64" i="4"/>
  <c r="E62" i="4"/>
  <c r="J101" i="4"/>
  <c r="E100" i="4"/>
  <c r="J75" i="4"/>
  <c r="E84" i="4"/>
  <c r="J100" i="4"/>
  <c r="E99" i="4"/>
  <c r="J72" i="4"/>
  <c r="E70" i="4"/>
  <c r="J99" i="4"/>
  <c r="E98" i="4"/>
  <c r="J85" i="4"/>
  <c r="E83" i="4"/>
  <c r="J63" i="4"/>
  <c r="E61" i="4"/>
  <c r="J98" i="4"/>
  <c r="E97" i="4"/>
  <c r="J84" i="4"/>
  <c r="E82" i="4"/>
  <c r="J97" i="4"/>
  <c r="E96" i="4"/>
  <c r="J96" i="4"/>
  <c r="E95" i="4"/>
  <c r="J88" i="4"/>
  <c r="E94" i="4"/>
  <c r="J71" i="4"/>
  <c r="E69" i="4"/>
  <c r="J95" i="4"/>
  <c r="E93" i="4"/>
  <c r="J70" i="4"/>
  <c r="E68" i="4"/>
  <c r="J83" i="4"/>
  <c r="E81" i="4"/>
  <c r="J94" i="4"/>
  <c r="E92" i="4"/>
  <c r="J59" i="4"/>
  <c r="E57" i="4"/>
  <c r="J93" i="4"/>
  <c r="E91" i="4"/>
  <c r="J92" i="4"/>
  <c r="E90" i="4"/>
  <c r="J62" i="4"/>
  <c r="E60" i="4"/>
  <c r="J58" i="4"/>
  <c r="E80" i="4"/>
  <c r="J82" i="4"/>
  <c r="E79" i="4"/>
  <c r="J69" i="4"/>
  <c r="E67" i="4"/>
  <c r="J61" i="4"/>
  <c r="E59" i="4"/>
  <c r="J81" i="4"/>
  <c r="E78" i="4"/>
  <c r="J65" i="4"/>
  <c r="E63" i="4"/>
  <c r="J80" i="4"/>
  <c r="E77" i="4"/>
  <c r="J60" i="4"/>
  <c r="E58" i="4"/>
  <c r="J91" i="4"/>
  <c r="E89" i="4"/>
  <c r="J79" i="4"/>
  <c r="E76" i="4"/>
  <c r="J90" i="4"/>
  <c r="E88" i="4"/>
  <c r="J78" i="4"/>
  <c r="E75" i="4"/>
  <c r="J68" i="4"/>
  <c r="E74" i="4"/>
  <c r="J77" i="4"/>
  <c r="E73" i="4"/>
  <c r="J76" i="4"/>
  <c r="E72" i="4"/>
  <c r="J89" i="4"/>
  <c r="E87" i="4"/>
  <c r="I99" i="9"/>
  <c r="H99" i="9"/>
  <c r="G99" i="9"/>
  <c r="D99" i="9"/>
  <c r="C99" i="9"/>
  <c r="B99" i="9"/>
  <c r="J71" i="9"/>
  <c r="E70" i="9"/>
  <c r="J98" i="9"/>
  <c r="E98" i="9"/>
  <c r="J97" i="9"/>
  <c r="E97" i="9"/>
  <c r="J96" i="9"/>
  <c r="E96" i="9"/>
  <c r="J61" i="9"/>
  <c r="E59" i="9"/>
  <c r="J79" i="9"/>
  <c r="E79" i="9"/>
  <c r="J56" i="9"/>
  <c r="E54" i="9"/>
  <c r="J95" i="9"/>
  <c r="E95" i="9"/>
  <c r="J54" i="9"/>
  <c r="E69" i="9"/>
  <c r="J64" i="9"/>
  <c r="E62" i="9"/>
  <c r="J78" i="9"/>
  <c r="E78" i="9"/>
  <c r="J77" i="9"/>
  <c r="E77" i="9"/>
  <c r="J63" i="9"/>
  <c r="E61" i="9"/>
  <c r="J94" i="9"/>
  <c r="E94" i="9"/>
  <c r="J60" i="9"/>
  <c r="E58" i="9"/>
  <c r="J93" i="9"/>
  <c r="E93" i="9"/>
  <c r="J59" i="9"/>
  <c r="E57" i="9"/>
  <c r="J72" i="9"/>
  <c r="E76" i="9"/>
  <c r="J92" i="9"/>
  <c r="E92" i="9"/>
  <c r="J91" i="9"/>
  <c r="E91" i="9"/>
  <c r="J67" i="9"/>
  <c r="E65" i="9"/>
  <c r="J70" i="9"/>
  <c r="E68" i="9"/>
  <c r="J90" i="9"/>
  <c r="E90" i="9"/>
  <c r="J89" i="9"/>
  <c r="E89" i="9"/>
  <c r="J66" i="9"/>
  <c r="E64" i="9"/>
  <c r="J88" i="9"/>
  <c r="E88" i="9"/>
  <c r="J87" i="9"/>
  <c r="E87" i="9"/>
  <c r="J69" i="9"/>
  <c r="E67" i="9"/>
  <c r="J86" i="9"/>
  <c r="E86" i="9"/>
  <c r="J85" i="9"/>
  <c r="E85" i="9"/>
  <c r="J84" i="9"/>
  <c r="E84" i="9"/>
  <c r="J57" i="9"/>
  <c r="E55" i="9"/>
  <c r="J83" i="9"/>
  <c r="E83" i="9"/>
  <c r="J76" i="9"/>
  <c r="E75" i="9"/>
  <c r="J82" i="9"/>
  <c r="E82" i="9"/>
  <c r="J68" i="9"/>
  <c r="E74" i="9"/>
  <c r="J55" i="9"/>
  <c r="E53" i="9"/>
  <c r="J65" i="9"/>
  <c r="E63" i="9"/>
  <c r="J75" i="9"/>
  <c r="E73" i="9"/>
  <c r="J81" i="9"/>
  <c r="E81" i="9"/>
  <c r="J58" i="9"/>
  <c r="E56" i="9"/>
  <c r="J62" i="9"/>
  <c r="E60" i="9"/>
  <c r="J74" i="9"/>
  <c r="E72" i="9"/>
  <c r="J73" i="9"/>
  <c r="E71" i="9"/>
  <c r="J80" i="9"/>
  <c r="E80" i="9"/>
  <c r="J53" i="9"/>
  <c r="E66" i="9"/>
  <c r="E99" i="9" s="1"/>
  <c r="Q12" i="6"/>
  <c r="I117" i="6"/>
  <c r="H117" i="6"/>
  <c r="G117" i="6"/>
  <c r="D117" i="6"/>
  <c r="C117" i="6"/>
  <c r="B117" i="6"/>
  <c r="J63" i="6"/>
  <c r="E88" i="6"/>
  <c r="J116" i="6"/>
  <c r="E116" i="6"/>
  <c r="J115" i="6"/>
  <c r="E115" i="6"/>
  <c r="J81" i="6"/>
  <c r="E114" i="6"/>
  <c r="J91" i="6"/>
  <c r="E113" i="6"/>
  <c r="J114" i="6"/>
  <c r="E112" i="6"/>
  <c r="J113" i="6"/>
  <c r="E111" i="6"/>
  <c r="J112" i="6"/>
  <c r="E110" i="6"/>
  <c r="J111" i="6"/>
  <c r="E109" i="6"/>
  <c r="J90" i="6"/>
  <c r="E87" i="6"/>
  <c r="J67" i="6"/>
  <c r="E65" i="6"/>
  <c r="J65" i="6"/>
  <c r="E63" i="6"/>
  <c r="J110" i="6"/>
  <c r="E108" i="6"/>
  <c r="J109" i="6"/>
  <c r="E107" i="6"/>
  <c r="J108" i="6"/>
  <c r="E106" i="6"/>
  <c r="J107" i="6"/>
  <c r="E105" i="6"/>
  <c r="J89" i="6"/>
  <c r="E86" i="6"/>
  <c r="J80" i="6"/>
  <c r="E77" i="6"/>
  <c r="J64" i="6"/>
  <c r="E62" i="6"/>
  <c r="J79" i="6"/>
  <c r="E76" i="6"/>
  <c r="J70" i="6"/>
  <c r="E68" i="6"/>
  <c r="J66" i="6"/>
  <c r="E64" i="6"/>
  <c r="J72" i="6"/>
  <c r="E104" i="6"/>
  <c r="J106" i="6"/>
  <c r="E103" i="6"/>
  <c r="J105" i="6"/>
  <c r="E102" i="6"/>
  <c r="J104" i="6"/>
  <c r="E101" i="6"/>
  <c r="J88" i="6"/>
  <c r="E85" i="6"/>
  <c r="J103" i="6"/>
  <c r="E100" i="6"/>
  <c r="J62" i="6"/>
  <c r="E84" i="6"/>
  <c r="J102" i="6"/>
  <c r="E99" i="6"/>
  <c r="J87" i="6"/>
  <c r="E83" i="6"/>
  <c r="J71" i="6"/>
  <c r="E69" i="6"/>
  <c r="J86" i="6"/>
  <c r="E82" i="6"/>
  <c r="J85" i="6"/>
  <c r="E81" i="6"/>
  <c r="J69" i="6"/>
  <c r="E67" i="6"/>
  <c r="J101" i="6"/>
  <c r="E98" i="6"/>
  <c r="J78" i="6"/>
  <c r="E75" i="6"/>
  <c r="J100" i="6"/>
  <c r="E97" i="6"/>
  <c r="J77" i="6"/>
  <c r="E74" i="6"/>
  <c r="J76" i="6"/>
  <c r="E73" i="6"/>
  <c r="J84" i="6"/>
  <c r="E80" i="6"/>
  <c r="J83" i="6"/>
  <c r="E79" i="6"/>
  <c r="J75" i="6"/>
  <c r="E72" i="6"/>
  <c r="J99" i="6"/>
  <c r="E96" i="6"/>
  <c r="J98" i="6"/>
  <c r="E95" i="6"/>
  <c r="J97" i="6"/>
  <c r="E94" i="6"/>
  <c r="J96" i="6"/>
  <c r="E93" i="6"/>
  <c r="J74" i="6"/>
  <c r="E71" i="6"/>
  <c r="J95" i="6"/>
  <c r="E92" i="6"/>
  <c r="J82" i="6"/>
  <c r="E78" i="6"/>
  <c r="J68" i="6"/>
  <c r="E66" i="6"/>
  <c r="J73" i="6"/>
  <c r="E70" i="6"/>
  <c r="J94" i="6"/>
  <c r="E91" i="6"/>
  <c r="J93" i="6"/>
  <c r="E90" i="6"/>
  <c r="J92" i="6"/>
  <c r="J117" i="6" s="1"/>
  <c r="E89" i="6"/>
  <c r="E117" i="6" s="1"/>
  <c r="Q5" i="3"/>
  <c r="I107" i="3"/>
  <c r="H107" i="3"/>
  <c r="G107" i="3"/>
  <c r="J107" i="3" s="1"/>
  <c r="D107" i="3"/>
  <c r="C107" i="3"/>
  <c r="B107" i="3"/>
  <c r="E107" i="3" s="1"/>
  <c r="J87" i="3"/>
  <c r="E85" i="3"/>
  <c r="J72" i="3"/>
  <c r="E70" i="3"/>
  <c r="J71" i="3"/>
  <c r="E69" i="3"/>
  <c r="J65" i="3"/>
  <c r="E63" i="3"/>
  <c r="J64" i="3"/>
  <c r="E62" i="3"/>
  <c r="J106" i="3"/>
  <c r="E106" i="3"/>
  <c r="J105" i="3"/>
  <c r="E105" i="3"/>
  <c r="J104" i="3"/>
  <c r="E104" i="3"/>
  <c r="J70" i="3"/>
  <c r="E68" i="3"/>
  <c r="J103" i="3"/>
  <c r="E103" i="3"/>
  <c r="J102" i="3"/>
  <c r="E102" i="3"/>
  <c r="J101" i="3"/>
  <c r="E101" i="3"/>
  <c r="J100" i="3"/>
  <c r="E100" i="3"/>
  <c r="J99" i="3"/>
  <c r="E99" i="3"/>
  <c r="J69" i="3"/>
  <c r="E67" i="3"/>
  <c r="J86" i="3"/>
  <c r="E84" i="3"/>
  <c r="J85" i="3"/>
  <c r="E83" i="3"/>
  <c r="J98" i="3"/>
  <c r="E98" i="3"/>
  <c r="J63" i="3"/>
  <c r="E61" i="3"/>
  <c r="J84" i="3"/>
  <c r="E82" i="3"/>
  <c r="J83" i="3"/>
  <c r="E81" i="3"/>
  <c r="J59" i="3"/>
  <c r="E57" i="3"/>
  <c r="J68" i="3"/>
  <c r="E66" i="3"/>
  <c r="J67" i="3"/>
  <c r="E65" i="3"/>
  <c r="J82" i="3"/>
  <c r="E80" i="3"/>
  <c r="J62" i="3"/>
  <c r="E60" i="3"/>
  <c r="J97" i="3"/>
  <c r="E97" i="3"/>
  <c r="J81" i="3"/>
  <c r="E79" i="3"/>
  <c r="J96" i="3"/>
  <c r="E96" i="3"/>
  <c r="J80" i="3"/>
  <c r="E78" i="3"/>
  <c r="J95" i="3"/>
  <c r="E95" i="3"/>
  <c r="J94" i="3"/>
  <c r="E94" i="3"/>
  <c r="J66" i="3"/>
  <c r="E64" i="3"/>
  <c r="J79" i="3"/>
  <c r="E77" i="3"/>
  <c r="J78" i="3"/>
  <c r="E76" i="3"/>
  <c r="J61" i="3"/>
  <c r="E59" i="3"/>
  <c r="J77" i="3"/>
  <c r="E75" i="3"/>
  <c r="J76" i="3"/>
  <c r="E74" i="3"/>
  <c r="J93" i="3"/>
  <c r="E93" i="3"/>
  <c r="J57" i="3"/>
  <c r="E92" i="3"/>
  <c r="J92" i="3"/>
  <c r="E91" i="3"/>
  <c r="J75" i="3"/>
  <c r="E73" i="3"/>
  <c r="J91" i="3"/>
  <c r="E90" i="3"/>
  <c r="J90" i="3"/>
  <c r="E89" i="3"/>
  <c r="J58" i="3"/>
  <c r="E88" i="3"/>
  <c r="J74" i="3"/>
  <c r="E72" i="3"/>
  <c r="J89" i="3"/>
  <c r="E87" i="3"/>
  <c r="J60" i="3"/>
  <c r="E58" i="3"/>
  <c r="J88" i="3"/>
  <c r="E86" i="3"/>
  <c r="J73" i="3"/>
  <c r="E71" i="3"/>
  <c r="J35" i="13"/>
  <c r="I35" i="13"/>
  <c r="AQ5" i="10"/>
  <c r="AH5" i="10"/>
  <c r="Q5" i="10"/>
  <c r="N14" i="10"/>
  <c r="I99" i="10"/>
  <c r="H99" i="10"/>
  <c r="G99" i="10"/>
  <c r="D99" i="10"/>
  <c r="C99" i="10"/>
  <c r="B99" i="10"/>
  <c r="J98" i="10"/>
  <c r="E98" i="10"/>
  <c r="J80" i="10"/>
  <c r="E79" i="10"/>
  <c r="J62" i="10"/>
  <c r="E59" i="10"/>
  <c r="J97" i="10"/>
  <c r="E97" i="10"/>
  <c r="J69" i="10"/>
  <c r="E67" i="10"/>
  <c r="J61" i="10"/>
  <c r="E58" i="10"/>
  <c r="J79" i="10"/>
  <c r="E78" i="10"/>
  <c r="J57" i="10"/>
  <c r="E55" i="10"/>
  <c r="J68" i="10"/>
  <c r="E66" i="10"/>
  <c r="J78" i="10"/>
  <c r="E77" i="10"/>
  <c r="J96" i="10"/>
  <c r="E96" i="10"/>
  <c r="J59" i="10"/>
  <c r="E57" i="10"/>
  <c r="J77" i="10"/>
  <c r="E76" i="10"/>
  <c r="J95" i="10"/>
  <c r="E95" i="10"/>
  <c r="J94" i="10"/>
  <c r="E94" i="10"/>
  <c r="J93" i="10"/>
  <c r="E93" i="10"/>
  <c r="J55" i="10"/>
  <c r="E53" i="10"/>
  <c r="J92" i="10"/>
  <c r="E92" i="10"/>
  <c r="J76" i="10"/>
  <c r="E75" i="10"/>
  <c r="J67" i="10"/>
  <c r="E65" i="10"/>
  <c r="J66" i="10"/>
  <c r="E64" i="10"/>
  <c r="J91" i="10"/>
  <c r="E91" i="10"/>
  <c r="J90" i="10"/>
  <c r="E90" i="10"/>
  <c r="J56" i="10"/>
  <c r="E54" i="10"/>
  <c r="J58" i="10"/>
  <c r="E56" i="10"/>
  <c r="J89" i="10"/>
  <c r="E89" i="10"/>
  <c r="J75" i="10"/>
  <c r="E74" i="10"/>
  <c r="J74" i="10"/>
  <c r="E73" i="10"/>
  <c r="J53" i="10"/>
  <c r="E88" i="10"/>
  <c r="J88" i="10"/>
  <c r="E87" i="10"/>
  <c r="J65" i="10"/>
  <c r="E63" i="10"/>
  <c r="J54" i="10"/>
  <c r="E62" i="10"/>
  <c r="J87" i="10"/>
  <c r="E86" i="10"/>
  <c r="J64" i="10"/>
  <c r="E61" i="10"/>
  <c r="J60" i="10"/>
  <c r="E72" i="10"/>
  <c r="J86" i="10"/>
  <c r="E85" i="10"/>
  <c r="J85" i="10"/>
  <c r="E84" i="10"/>
  <c r="J63" i="10"/>
  <c r="E60" i="10"/>
  <c r="J73" i="10"/>
  <c r="E71" i="10"/>
  <c r="J72" i="10"/>
  <c r="E70" i="10"/>
  <c r="J84" i="10"/>
  <c r="E83" i="10"/>
  <c r="J83" i="10"/>
  <c r="E82" i="10"/>
  <c r="J82" i="10"/>
  <c r="E81" i="10"/>
  <c r="J71" i="10"/>
  <c r="E69" i="10"/>
  <c r="J81" i="10"/>
  <c r="E80" i="10"/>
  <c r="J70" i="10"/>
  <c r="E68" i="10"/>
  <c r="I105" i="5"/>
  <c r="H105" i="5"/>
  <c r="G105" i="5"/>
  <c r="J105" i="5" s="1"/>
  <c r="D105" i="5"/>
  <c r="C105" i="5"/>
  <c r="B105" i="5"/>
  <c r="J84" i="5"/>
  <c r="E104" i="5"/>
  <c r="J104" i="5"/>
  <c r="E103" i="5"/>
  <c r="J68" i="5"/>
  <c r="E66" i="5"/>
  <c r="J83" i="5"/>
  <c r="E81" i="5"/>
  <c r="J58" i="5"/>
  <c r="E57" i="5"/>
  <c r="J73" i="5"/>
  <c r="E71" i="5"/>
  <c r="J103" i="5"/>
  <c r="E102" i="5"/>
  <c r="J74" i="5"/>
  <c r="E101" i="5"/>
  <c r="J102" i="5"/>
  <c r="E100" i="5"/>
  <c r="J72" i="5"/>
  <c r="E70" i="5"/>
  <c r="J101" i="5"/>
  <c r="E99" i="5"/>
  <c r="J100" i="5"/>
  <c r="E98" i="5"/>
  <c r="J67" i="5"/>
  <c r="E65" i="5"/>
  <c r="J82" i="5"/>
  <c r="E80" i="5"/>
  <c r="J99" i="5"/>
  <c r="E97" i="5"/>
  <c r="J56" i="5"/>
  <c r="E60" i="5"/>
  <c r="J60" i="5"/>
  <c r="E59" i="5"/>
  <c r="J57" i="5"/>
  <c r="E56" i="5"/>
  <c r="J75" i="5"/>
  <c r="E79" i="5"/>
  <c r="J98" i="5"/>
  <c r="E96" i="5"/>
  <c r="J66" i="5"/>
  <c r="E64" i="5"/>
  <c r="J62" i="5"/>
  <c r="E95" i="5"/>
  <c r="J59" i="5"/>
  <c r="E58" i="5"/>
  <c r="J97" i="5"/>
  <c r="E94" i="5"/>
  <c r="J96" i="5"/>
  <c r="E93" i="5"/>
  <c r="J95" i="5"/>
  <c r="E92" i="5"/>
  <c r="J94" i="5"/>
  <c r="E91" i="5"/>
  <c r="J81" i="5"/>
  <c r="E78" i="5"/>
  <c r="J93" i="5"/>
  <c r="E90" i="5"/>
  <c r="J92" i="5"/>
  <c r="E89" i="5"/>
  <c r="J91" i="5"/>
  <c r="E88" i="5"/>
  <c r="J90" i="5"/>
  <c r="E87" i="5"/>
  <c r="J80" i="5"/>
  <c r="E77" i="5"/>
  <c r="J65" i="5"/>
  <c r="E63" i="5"/>
  <c r="J89" i="5"/>
  <c r="E86" i="5"/>
  <c r="J79" i="5"/>
  <c r="E76" i="5"/>
  <c r="J64" i="5"/>
  <c r="E62" i="5"/>
  <c r="J71" i="5"/>
  <c r="E69" i="5"/>
  <c r="J88" i="5"/>
  <c r="E85" i="5"/>
  <c r="J87" i="5"/>
  <c r="E84" i="5"/>
  <c r="J78" i="5"/>
  <c r="E75" i="5"/>
  <c r="J70" i="5"/>
  <c r="E68" i="5"/>
  <c r="J77" i="5"/>
  <c r="E74" i="5"/>
  <c r="J69" i="5"/>
  <c r="E67" i="5"/>
  <c r="J86" i="5"/>
  <c r="E83" i="5"/>
  <c r="J85" i="5"/>
  <c r="E82" i="5"/>
  <c r="J63" i="5"/>
  <c r="E61" i="5"/>
  <c r="J61" i="5"/>
  <c r="E73" i="5"/>
  <c r="J76" i="5"/>
  <c r="E72" i="5"/>
  <c r="I111" i="1"/>
  <c r="H111" i="1"/>
  <c r="G111" i="1"/>
  <c r="J111" i="1" s="1"/>
  <c r="D111" i="1"/>
  <c r="C111" i="1"/>
  <c r="B111" i="1"/>
  <c r="E111" i="1" s="1"/>
  <c r="J110" i="1"/>
  <c r="E110" i="1"/>
  <c r="J93" i="1"/>
  <c r="E91" i="1"/>
  <c r="J109" i="1"/>
  <c r="E109" i="1"/>
  <c r="J74" i="1"/>
  <c r="E71" i="1"/>
  <c r="J82" i="1"/>
  <c r="E81" i="1"/>
  <c r="J108" i="1"/>
  <c r="E108" i="1"/>
  <c r="J92" i="1"/>
  <c r="E90" i="1"/>
  <c r="J64" i="1"/>
  <c r="E80" i="1"/>
  <c r="J107" i="1"/>
  <c r="E107" i="1"/>
  <c r="J81" i="1"/>
  <c r="E79" i="1"/>
  <c r="J59" i="1"/>
  <c r="E106" i="1"/>
  <c r="J106" i="1"/>
  <c r="E105" i="1"/>
  <c r="J80" i="1"/>
  <c r="E78" i="1"/>
  <c r="J91" i="1"/>
  <c r="E89" i="1"/>
  <c r="J71" i="1"/>
  <c r="E67" i="1"/>
  <c r="J90" i="1"/>
  <c r="E88" i="1"/>
  <c r="J75" i="1"/>
  <c r="E77" i="1"/>
  <c r="J79" i="1"/>
  <c r="E76" i="1"/>
  <c r="J89" i="1"/>
  <c r="E87" i="1"/>
  <c r="J63" i="1"/>
  <c r="E61" i="1"/>
  <c r="J88" i="1"/>
  <c r="E86" i="1"/>
  <c r="J105" i="1"/>
  <c r="E104" i="1"/>
  <c r="J104" i="1"/>
  <c r="E103" i="1"/>
  <c r="J83" i="1"/>
  <c r="E102" i="1"/>
  <c r="J103" i="1"/>
  <c r="E101" i="1"/>
  <c r="J73" i="1"/>
  <c r="E70" i="1"/>
  <c r="J102" i="1"/>
  <c r="E100" i="1"/>
  <c r="J70" i="1"/>
  <c r="E66" i="1"/>
  <c r="J78" i="1"/>
  <c r="E75" i="1"/>
  <c r="J101" i="1"/>
  <c r="E99" i="1"/>
  <c r="J100" i="1"/>
  <c r="E98" i="1"/>
  <c r="J77" i="1"/>
  <c r="E74" i="1"/>
  <c r="J76" i="1"/>
  <c r="E73" i="1"/>
  <c r="J99" i="1"/>
  <c r="E97" i="1"/>
  <c r="J65" i="1"/>
  <c r="E62" i="1"/>
  <c r="J69" i="1"/>
  <c r="E65" i="1"/>
  <c r="J98" i="1"/>
  <c r="E96" i="1"/>
  <c r="J97" i="1"/>
  <c r="E95" i="1"/>
  <c r="J87" i="1"/>
  <c r="E85" i="1"/>
  <c r="J68" i="1"/>
  <c r="E64" i="1"/>
  <c r="J62" i="1"/>
  <c r="E60" i="1"/>
  <c r="J96" i="1"/>
  <c r="E94" i="1"/>
  <c r="J61" i="1"/>
  <c r="E69" i="1"/>
  <c r="J86" i="1"/>
  <c r="E84" i="1"/>
  <c r="J95" i="1"/>
  <c r="E93" i="1"/>
  <c r="J72" i="1"/>
  <c r="E68" i="1"/>
  <c r="J85" i="1"/>
  <c r="E83" i="1"/>
  <c r="J67" i="1"/>
  <c r="E72" i="1"/>
  <c r="J66" i="1"/>
  <c r="E63" i="1"/>
  <c r="J94" i="1"/>
  <c r="E92" i="1"/>
  <c r="J84" i="1"/>
  <c r="E82" i="1"/>
  <c r="J60" i="1"/>
  <c r="E59" i="1"/>
  <c r="N26" i="2"/>
  <c r="Q10" i="2"/>
  <c r="I99" i="2"/>
  <c r="H99" i="2"/>
  <c r="G99" i="2"/>
  <c r="D99" i="2"/>
  <c r="C99" i="2"/>
  <c r="B99" i="2"/>
  <c r="J68" i="2"/>
  <c r="E67" i="2"/>
  <c r="J98" i="2"/>
  <c r="E98" i="2"/>
  <c r="J67" i="2"/>
  <c r="E66" i="2"/>
  <c r="J97" i="2"/>
  <c r="E97" i="2"/>
  <c r="J61" i="2"/>
  <c r="E61" i="2"/>
  <c r="J60" i="2"/>
  <c r="E60" i="2"/>
  <c r="J66" i="2"/>
  <c r="E65" i="2"/>
  <c r="J96" i="2"/>
  <c r="E96" i="2"/>
  <c r="J95" i="2"/>
  <c r="E95" i="2"/>
  <c r="J65" i="2"/>
  <c r="E64" i="2"/>
  <c r="J53" i="2"/>
  <c r="E54" i="2"/>
  <c r="J59" i="2"/>
  <c r="E59" i="2"/>
  <c r="J57" i="2"/>
  <c r="E57" i="2"/>
  <c r="J78" i="2"/>
  <c r="E76" i="2"/>
  <c r="J94" i="2"/>
  <c r="E94" i="2"/>
  <c r="J77" i="2"/>
  <c r="E75" i="2"/>
  <c r="J64" i="2"/>
  <c r="E63" i="2"/>
  <c r="J93" i="2"/>
  <c r="E93" i="2"/>
  <c r="J63" i="2"/>
  <c r="E62" i="2"/>
  <c r="J92" i="2"/>
  <c r="E92" i="2"/>
  <c r="J91" i="2"/>
  <c r="E91" i="2"/>
  <c r="J90" i="2"/>
  <c r="E90" i="2"/>
  <c r="J76" i="2"/>
  <c r="E74" i="2"/>
  <c r="J89" i="2"/>
  <c r="E89" i="2"/>
  <c r="J75" i="2"/>
  <c r="E73" i="2"/>
  <c r="J88" i="2"/>
  <c r="E88" i="2"/>
  <c r="J87" i="2"/>
  <c r="E87" i="2"/>
  <c r="J74" i="2"/>
  <c r="E72" i="2"/>
  <c r="J86" i="2"/>
  <c r="E86" i="2"/>
  <c r="J73" i="2"/>
  <c r="E71" i="2"/>
  <c r="J79" i="2"/>
  <c r="E85" i="2"/>
  <c r="J72" i="2"/>
  <c r="E70" i="2"/>
  <c r="J69" i="2"/>
  <c r="E84" i="2"/>
  <c r="J71" i="2"/>
  <c r="E69" i="2"/>
  <c r="J70" i="2"/>
  <c r="E68" i="2"/>
  <c r="J85" i="2"/>
  <c r="E83" i="2"/>
  <c r="J55" i="2"/>
  <c r="E55" i="2"/>
  <c r="J54" i="2"/>
  <c r="E53" i="2"/>
  <c r="J56" i="2"/>
  <c r="E56" i="2"/>
  <c r="J62" i="2"/>
  <c r="E82" i="2"/>
  <c r="J84" i="2"/>
  <c r="E81" i="2"/>
  <c r="J83" i="2"/>
  <c r="E80" i="2"/>
  <c r="J82" i="2"/>
  <c r="E79" i="2"/>
  <c r="J58" i="2"/>
  <c r="E58" i="2"/>
  <c r="J81" i="2"/>
  <c r="E78" i="2"/>
  <c r="J80" i="2"/>
  <c r="J99" i="2" s="1"/>
  <c r="E77" i="2"/>
  <c r="F287" i="16"/>
  <c r="C276" i="16"/>
  <c r="F290" i="13"/>
  <c r="C290" i="13"/>
  <c r="J17" i="2"/>
  <c r="E17" i="2"/>
  <c r="Q6" i="11"/>
  <c r="I101" i="11"/>
  <c r="H101" i="11"/>
  <c r="G101" i="11"/>
  <c r="D101" i="11"/>
  <c r="C101" i="11"/>
  <c r="B101" i="11"/>
  <c r="J66" i="11"/>
  <c r="E64" i="11"/>
  <c r="J100" i="11"/>
  <c r="E100" i="11"/>
  <c r="J99" i="11"/>
  <c r="E99" i="11"/>
  <c r="J98" i="11"/>
  <c r="E98" i="11"/>
  <c r="J97" i="11"/>
  <c r="E97" i="11"/>
  <c r="J55" i="11"/>
  <c r="E54" i="11"/>
  <c r="J96" i="11"/>
  <c r="E96" i="11"/>
  <c r="J95" i="11"/>
  <c r="E95" i="11"/>
  <c r="J94" i="11"/>
  <c r="E94" i="11"/>
  <c r="J93" i="11"/>
  <c r="E93" i="11"/>
  <c r="J74" i="11"/>
  <c r="E73" i="11"/>
  <c r="J92" i="11"/>
  <c r="E92" i="11"/>
  <c r="J73" i="11"/>
  <c r="E72" i="11"/>
  <c r="J65" i="11"/>
  <c r="E63" i="11"/>
  <c r="J91" i="11"/>
  <c r="E91" i="11"/>
  <c r="J90" i="11"/>
  <c r="E90" i="11"/>
  <c r="J60" i="11"/>
  <c r="E59" i="11"/>
  <c r="J58" i="11"/>
  <c r="E57" i="11"/>
  <c r="J57" i="11"/>
  <c r="E56" i="11"/>
  <c r="J64" i="11"/>
  <c r="E62" i="11"/>
  <c r="J72" i="11"/>
  <c r="E71" i="11"/>
  <c r="J59" i="11"/>
  <c r="E58" i="11"/>
  <c r="J89" i="11"/>
  <c r="E89" i="11"/>
  <c r="J71" i="11"/>
  <c r="E70" i="11"/>
  <c r="J56" i="11"/>
  <c r="E55" i="11"/>
  <c r="J88" i="11"/>
  <c r="E88" i="11"/>
  <c r="J87" i="11"/>
  <c r="E87" i="11"/>
  <c r="J61" i="11"/>
  <c r="E69" i="11"/>
  <c r="J86" i="11"/>
  <c r="E86" i="11"/>
  <c r="J70" i="11"/>
  <c r="E68" i="11"/>
  <c r="J85" i="11"/>
  <c r="E85" i="11"/>
  <c r="J84" i="11"/>
  <c r="E84" i="11"/>
  <c r="J83" i="11"/>
  <c r="E83" i="11"/>
  <c r="J82" i="11"/>
  <c r="E82" i="11"/>
  <c r="J81" i="11"/>
  <c r="E81" i="11"/>
  <c r="J80" i="11"/>
  <c r="E80" i="11"/>
  <c r="J54" i="11"/>
  <c r="E79" i="11"/>
  <c r="J69" i="11"/>
  <c r="E67" i="11"/>
  <c r="J68" i="11"/>
  <c r="E66" i="11"/>
  <c r="J63" i="11"/>
  <c r="E61" i="11"/>
  <c r="J75" i="11"/>
  <c r="E78" i="11"/>
  <c r="J79" i="11"/>
  <c r="E77" i="11"/>
  <c r="J78" i="11"/>
  <c r="E76" i="11"/>
  <c r="J77" i="11"/>
  <c r="E75" i="11"/>
  <c r="J62" i="11"/>
  <c r="E60" i="11"/>
  <c r="J76" i="11"/>
  <c r="E74" i="11"/>
  <c r="J67" i="11"/>
  <c r="E65" i="11"/>
  <c r="AT14" i="11"/>
  <c r="N14" i="11"/>
  <c r="N15" i="9"/>
  <c r="AD15" i="9"/>
  <c r="N21" i="5"/>
  <c r="F77" i="13"/>
  <c r="C62" i="13"/>
  <c r="F114" i="13"/>
  <c r="F151" i="13"/>
  <c r="C99" i="13"/>
  <c r="C139" i="13"/>
  <c r="J32" i="3"/>
  <c r="E32" i="3"/>
  <c r="F165" i="13"/>
  <c r="C154" i="13"/>
  <c r="Q4" i="9"/>
  <c r="Q10" i="1"/>
  <c r="F152" i="13"/>
  <c r="C140" i="13"/>
  <c r="F104" i="13"/>
  <c r="C91" i="13"/>
  <c r="F45" i="13"/>
  <c r="C110" i="13"/>
  <c r="N4" i="1"/>
  <c r="N11" i="6"/>
  <c r="Q9" i="2"/>
  <c r="Q6" i="14"/>
  <c r="N23" i="2"/>
  <c r="F309" i="13"/>
  <c r="C305" i="13"/>
  <c r="J21" i="2"/>
  <c r="E21" i="2"/>
  <c r="N12" i="11"/>
  <c r="N18" i="6"/>
  <c r="Q7" i="6"/>
  <c r="N16" i="4"/>
  <c r="Q9" i="4"/>
  <c r="N15" i="3"/>
  <c r="Q6" i="5"/>
  <c r="N25" i="2"/>
  <c r="N13" i="11"/>
  <c r="F380" i="16"/>
  <c r="C380" i="16"/>
  <c r="F126" i="13"/>
  <c r="C113" i="13"/>
  <c r="J10" i="11"/>
  <c r="E10" i="11"/>
  <c r="N16" i="3"/>
  <c r="N18" i="9"/>
  <c r="N17" i="1"/>
  <c r="N21" i="6"/>
  <c r="N15" i="4"/>
  <c r="N14" i="4"/>
  <c r="N20" i="5"/>
  <c r="N18" i="5"/>
  <c r="N13" i="14"/>
  <c r="N15" i="14"/>
  <c r="N15" i="10"/>
  <c r="N5" i="14"/>
  <c r="F146" i="13"/>
  <c r="C133" i="13"/>
  <c r="N6" i="10"/>
  <c r="F98" i="13"/>
  <c r="C85" i="13"/>
  <c r="F18" i="16"/>
  <c r="C10" i="16"/>
  <c r="F106" i="16"/>
  <c r="F76" i="16"/>
  <c r="C89" i="16"/>
  <c r="C58" i="16"/>
  <c r="J23" i="16"/>
  <c r="I23" i="16"/>
  <c r="N33" i="2"/>
  <c r="E111" i="14" l="1"/>
  <c r="J99" i="9"/>
  <c r="J99" i="10"/>
  <c r="E99" i="10"/>
  <c r="E105" i="5"/>
  <c r="E99" i="2"/>
  <c r="J101" i="11"/>
  <c r="E101" i="11"/>
  <c r="K23" i="16"/>
  <c r="J32" i="2" l="1"/>
  <c r="E32" i="2"/>
  <c r="J14" i="2"/>
  <c r="E14" i="2"/>
  <c r="F41" i="16"/>
  <c r="C274" i="16"/>
  <c r="F107" i="16"/>
  <c r="C90" i="16"/>
  <c r="F72" i="16"/>
  <c r="C55" i="16"/>
  <c r="F77" i="16" l="1"/>
  <c r="C59" i="16"/>
  <c r="F122" i="16"/>
  <c r="C105" i="16"/>
  <c r="F50" i="16"/>
  <c r="C32" i="16"/>
  <c r="F46" i="16"/>
  <c r="C29" i="16"/>
  <c r="F243" i="13"/>
  <c r="C235" i="13"/>
  <c r="F63" i="16"/>
  <c r="C45" i="16"/>
  <c r="J17" i="14"/>
  <c r="E17" i="14"/>
  <c r="F112" i="16" l="1"/>
  <c r="C95" i="16"/>
  <c r="F73" i="16"/>
  <c r="C239" i="16"/>
  <c r="J53" i="13"/>
  <c r="I53" i="13"/>
  <c r="J21" i="16"/>
  <c r="I21" i="16"/>
  <c r="J26" i="16"/>
  <c r="I26" i="16"/>
  <c r="K26" i="16" s="1"/>
  <c r="N34" i="9"/>
  <c r="N33" i="9"/>
  <c r="J38" i="9"/>
  <c r="E38" i="9"/>
  <c r="J9" i="16"/>
  <c r="I9" i="16"/>
  <c r="N33" i="5"/>
  <c r="F47" i="16"/>
  <c r="C30" i="16"/>
  <c r="F124" i="16"/>
  <c r="C107" i="16"/>
  <c r="F38" i="16"/>
  <c r="C429" i="16"/>
  <c r="F28" i="16"/>
  <c r="C20" i="16"/>
  <c r="F91" i="16"/>
  <c r="C73" i="16"/>
  <c r="F58" i="16"/>
  <c r="C40" i="16"/>
  <c r="F116" i="16"/>
  <c r="C99" i="16"/>
  <c r="F80" i="16"/>
  <c r="C62" i="16"/>
  <c r="F322" i="13"/>
  <c r="C318" i="13"/>
  <c r="F229" i="13"/>
  <c r="C220" i="13"/>
  <c r="J33" i="14"/>
  <c r="E33" i="14"/>
  <c r="J14" i="14"/>
  <c r="E14" i="14"/>
  <c r="F11" i="16"/>
  <c r="C6" i="16"/>
  <c r="F100" i="16"/>
  <c r="C82" i="16"/>
  <c r="F118" i="16"/>
  <c r="C101" i="16"/>
  <c r="F415" i="13"/>
  <c r="C414" i="13"/>
  <c r="J45" i="4"/>
  <c r="E45" i="4"/>
  <c r="F54" i="16"/>
  <c r="C36" i="16"/>
  <c r="F114" i="16"/>
  <c r="C97" i="16"/>
  <c r="F84" i="16"/>
  <c r="C66" i="16"/>
  <c r="F12" i="16"/>
  <c r="C7" i="16"/>
  <c r="F94" i="16"/>
  <c r="C76" i="16"/>
  <c r="F303" i="13"/>
  <c r="F356" i="13"/>
  <c r="C299" i="13"/>
  <c r="C353" i="13"/>
  <c r="J26" i="11"/>
  <c r="E26" i="11"/>
  <c r="J33" i="11"/>
  <c r="E33" i="11"/>
  <c r="J19" i="16"/>
  <c r="I19" i="16"/>
  <c r="F128" i="16"/>
  <c r="C184" i="16"/>
  <c r="F230" i="13"/>
  <c r="C221" i="13"/>
  <c r="N32" i="2"/>
  <c r="J9" i="2"/>
  <c r="E9" i="2"/>
  <c r="J8" i="16"/>
  <c r="I8" i="16"/>
  <c r="K8" i="16" s="1"/>
  <c r="N29" i="10"/>
  <c r="F98" i="16"/>
  <c r="C80" i="16"/>
  <c r="F21" i="16"/>
  <c r="C13" i="16"/>
  <c r="F37" i="16"/>
  <c r="C217" i="16"/>
  <c r="F53" i="16"/>
  <c r="F117" i="16"/>
  <c r="C100" i="16"/>
  <c r="F101" i="16"/>
  <c r="C83" i="16"/>
  <c r="F69" i="16"/>
  <c r="C52" i="16"/>
  <c r="F71" i="16"/>
  <c r="C54" i="16"/>
  <c r="F81" i="16"/>
  <c r="C63" i="16"/>
  <c r="F269" i="13"/>
  <c r="C264" i="13"/>
  <c r="J25" i="3"/>
  <c r="E25" i="3"/>
  <c r="F120" i="16"/>
  <c r="C103" i="16"/>
  <c r="F60" i="16"/>
  <c r="F25" i="16"/>
  <c r="C17" i="16"/>
  <c r="F308" i="13"/>
  <c r="C304" i="13"/>
  <c r="J29" i="3"/>
  <c r="E29" i="3"/>
  <c r="F119" i="16"/>
  <c r="C102" i="16"/>
  <c r="F79" i="16"/>
  <c r="C61" i="16"/>
  <c r="F394" i="13"/>
  <c r="C392" i="13"/>
  <c r="F109" i="16"/>
  <c r="C92" i="16"/>
  <c r="J39" i="10"/>
  <c r="E39" i="10"/>
  <c r="F125" i="16"/>
  <c r="C108" i="16"/>
  <c r="F449" i="13"/>
  <c r="C449" i="13"/>
  <c r="J47" i="10"/>
  <c r="E47" i="10"/>
  <c r="K21" i="16" l="1"/>
  <c r="K19" i="16"/>
  <c r="K9" i="16"/>
  <c r="J18" i="16" l="1"/>
  <c r="I18" i="16"/>
  <c r="N31" i="4"/>
  <c r="F40" i="16"/>
  <c r="C435" i="16"/>
  <c r="F20" i="16"/>
  <c r="C12" i="16"/>
  <c r="F85" i="16"/>
  <c r="C67" i="16"/>
  <c r="F59" i="16"/>
  <c r="C41" i="16"/>
  <c r="F42" i="16"/>
  <c r="C85" i="16"/>
  <c r="F111" i="16"/>
  <c r="C94" i="16"/>
  <c r="F52" i="16"/>
  <c r="C34" i="16"/>
  <c r="F74" i="16"/>
  <c r="C56" i="16"/>
  <c r="F373" i="13"/>
  <c r="C371" i="13"/>
  <c r="J31" i="9"/>
  <c r="E31" i="9"/>
  <c r="F48" i="16"/>
  <c r="C125" i="16"/>
  <c r="F70" i="16"/>
  <c r="C53" i="16"/>
  <c r="K18" i="16" l="1"/>
  <c r="J11" i="16"/>
  <c r="I11" i="16"/>
  <c r="F19" i="16"/>
  <c r="C11" i="16"/>
  <c r="F23" i="16"/>
  <c r="C15" i="16"/>
  <c r="F22" i="16"/>
  <c r="C14" i="16"/>
  <c r="F113" i="16"/>
  <c r="C96" i="16"/>
  <c r="F34" i="16"/>
  <c r="C26" i="16"/>
  <c r="F8" i="16"/>
  <c r="C48" i="16"/>
  <c r="N32" i="1"/>
  <c r="J24" i="16"/>
  <c r="I24" i="16"/>
  <c r="J25" i="16"/>
  <c r="I25" i="16"/>
  <c r="J61" i="13"/>
  <c r="I61" i="13"/>
  <c r="N37" i="6"/>
  <c r="F49" i="16"/>
  <c r="C31" i="16"/>
  <c r="F127" i="16"/>
  <c r="C489" i="16"/>
  <c r="F24" i="16"/>
  <c r="C16" i="16"/>
  <c r="J53" i="6"/>
  <c r="E53" i="6"/>
  <c r="J8" i="6"/>
  <c r="E8" i="6"/>
  <c r="F171" i="13"/>
  <c r="C162" i="13"/>
  <c r="K24" i="16" l="1"/>
  <c r="K11" i="16"/>
  <c r="K25" i="16"/>
  <c r="N7" i="2" l="1"/>
  <c r="F99" i="13"/>
  <c r="C86" i="13"/>
  <c r="F129" i="13"/>
  <c r="C116" i="13"/>
  <c r="F85" i="13"/>
  <c r="C70" i="13"/>
  <c r="F442" i="13"/>
  <c r="C441" i="13"/>
  <c r="F433" i="13"/>
  <c r="C432" i="13"/>
  <c r="F423" i="13"/>
  <c r="C422" i="13"/>
  <c r="F60" i="13"/>
  <c r="C45" i="13"/>
  <c r="F409" i="13"/>
  <c r="C408" i="13"/>
  <c r="F382" i="13"/>
  <c r="C380" i="13"/>
  <c r="F371" i="13"/>
  <c r="F162" i="13"/>
  <c r="F369" i="13"/>
  <c r="C369" i="13"/>
  <c r="C150" i="13"/>
  <c r="C367" i="13"/>
  <c r="F363" i="13"/>
  <c r="F362" i="13"/>
  <c r="C360" i="13"/>
  <c r="C359" i="13"/>
  <c r="F87" i="13"/>
  <c r="C72" i="13"/>
  <c r="F340" i="13"/>
  <c r="C336" i="13"/>
  <c r="F319" i="13"/>
  <c r="C315" i="13"/>
  <c r="F294" i="13"/>
  <c r="C288" i="13"/>
  <c r="F135" i="13"/>
  <c r="F273" i="13"/>
  <c r="C122" i="13"/>
  <c r="C268" i="13"/>
  <c r="F266" i="13"/>
  <c r="C260" i="13"/>
  <c r="F250" i="13"/>
  <c r="F248" i="13"/>
  <c r="F247" i="13"/>
  <c r="F246" i="13"/>
  <c r="C242" i="13"/>
  <c r="C240" i="13"/>
  <c r="C239" i="13"/>
  <c r="C238" i="13"/>
  <c r="C223" i="13"/>
  <c r="F216" i="13"/>
  <c r="C207" i="13"/>
  <c r="F199" i="13"/>
  <c r="C188" i="13"/>
  <c r="F183" i="13"/>
  <c r="C172" i="13"/>
  <c r="F158" i="13"/>
  <c r="F88" i="13"/>
  <c r="C146" i="13"/>
  <c r="C73" i="13"/>
  <c r="F128" i="13"/>
  <c r="J40" i="13"/>
  <c r="I40" i="13"/>
  <c r="C115" i="13"/>
  <c r="F81" i="13"/>
  <c r="F12" i="13"/>
  <c r="C66" i="13"/>
  <c r="J12" i="11"/>
  <c r="E12" i="11"/>
  <c r="J30" i="11"/>
  <c r="E30" i="11"/>
  <c r="F131" i="13" l="1"/>
  <c r="C118" i="13"/>
  <c r="N9" i="4"/>
  <c r="F153" i="13" l="1"/>
  <c r="C141" i="13"/>
  <c r="N10" i="1"/>
  <c r="AD33" i="5"/>
  <c r="AS27" i="5"/>
  <c r="AM27" i="5"/>
  <c r="AD27" i="5"/>
  <c r="N5" i="5" l="1"/>
  <c r="F43" i="13"/>
  <c r="C363" i="13"/>
  <c r="N10" i="9"/>
  <c r="F39" i="13" l="1"/>
  <c r="C25" i="13"/>
  <c r="F29" i="13"/>
  <c r="C17" i="13"/>
  <c r="N12" i="6"/>
  <c r="N5" i="4"/>
  <c r="J4" i="13"/>
  <c r="I4" i="13"/>
  <c r="N6" i="5"/>
  <c r="F41" i="13"/>
  <c r="C27" i="13"/>
  <c r="F18" i="13"/>
  <c r="C135" i="13"/>
  <c r="J29" i="13"/>
  <c r="I29" i="13"/>
  <c r="N11" i="5"/>
  <c r="N4" i="5"/>
  <c r="K4" i="13" l="1"/>
  <c r="K29" i="13"/>
  <c r="J16" i="13"/>
  <c r="I16" i="13"/>
  <c r="N9" i="6"/>
  <c r="N7" i="6"/>
  <c r="K16" i="13" l="1"/>
  <c r="N9" i="2" l="1"/>
  <c r="N4" i="9"/>
  <c r="F24" i="13"/>
  <c r="C13" i="13"/>
  <c r="J42" i="9"/>
  <c r="E42" i="9"/>
  <c r="J15" i="13"/>
  <c r="I15" i="13"/>
  <c r="N6" i="14"/>
  <c r="N4" i="14"/>
  <c r="F5" i="13"/>
  <c r="C259" i="13"/>
  <c r="J21" i="14"/>
  <c r="E21" i="14"/>
  <c r="F16" i="13"/>
  <c r="C5" i="13"/>
  <c r="J10" i="14"/>
  <c r="E10" i="14"/>
  <c r="J28" i="13"/>
  <c r="I28" i="13"/>
  <c r="AT12" i="11"/>
  <c r="K15" i="13" l="1"/>
  <c r="K28" i="13"/>
  <c r="N5" i="11" l="1"/>
  <c r="N4" i="11"/>
  <c r="N6" i="4"/>
  <c r="N5" i="1"/>
  <c r="N11" i="1"/>
  <c r="F167" i="13" l="1"/>
  <c r="C157" i="13"/>
  <c r="J45" i="1"/>
  <c r="E45" i="1"/>
  <c r="C202" i="13"/>
  <c r="F11" i="13"/>
  <c r="N6" i="3"/>
  <c r="F38" i="13" l="1"/>
  <c r="C24" i="13"/>
  <c r="C506" i="16"/>
  <c r="C490" i="16"/>
  <c r="C457" i="16"/>
  <c r="C434" i="16"/>
  <c r="C346" i="16"/>
  <c r="C332" i="16"/>
  <c r="C313" i="16"/>
  <c r="C301" i="16"/>
  <c r="C229" i="16"/>
  <c r="C198" i="16"/>
  <c r="C188" i="16"/>
  <c r="C163" i="16"/>
  <c r="C147" i="16"/>
  <c r="C144" i="16"/>
  <c r="C132" i="16"/>
  <c r="F132" i="16"/>
  <c r="F131" i="16"/>
  <c r="F130" i="16"/>
  <c r="F129" i="16"/>
  <c r="F16" i="16"/>
  <c r="F45" i="16"/>
  <c r="F14" i="16"/>
  <c r="F126" i="16"/>
  <c r="F36" i="16"/>
  <c r="F123" i="16"/>
  <c r="F13" i="16"/>
  <c r="F121" i="16"/>
  <c r="F115" i="16"/>
  <c r="F110" i="16"/>
  <c r="F108" i="16"/>
  <c r="F105" i="16"/>
  <c r="C109" i="16"/>
  <c r="F104" i="16"/>
  <c r="C28" i="16"/>
  <c r="F31" i="16"/>
  <c r="C106" i="16"/>
  <c r="F103" i="16"/>
  <c r="C8" i="16"/>
  <c r="F102" i="16"/>
  <c r="C104" i="16"/>
  <c r="F29" i="16"/>
  <c r="C98" i="16"/>
  <c r="F27" i="16"/>
  <c r="C93" i="16"/>
  <c r="F99" i="16"/>
  <c r="C91" i="16"/>
  <c r="F97" i="16"/>
  <c r="C88" i="16"/>
  <c r="F96" i="16"/>
  <c r="C87" i="16"/>
  <c r="F95" i="16"/>
  <c r="C23" i="16"/>
  <c r="F93" i="16"/>
  <c r="C86" i="16"/>
  <c r="C84" i="16"/>
  <c r="F92" i="16"/>
  <c r="C21" i="16"/>
  <c r="F90" i="16"/>
  <c r="C19" i="16"/>
  <c r="F89" i="16"/>
  <c r="C81" i="16"/>
  <c r="F88" i="16"/>
  <c r="C79" i="16"/>
  <c r="F87" i="16"/>
  <c r="C78" i="16"/>
  <c r="F86" i="16"/>
  <c r="C77" i="16"/>
  <c r="F83" i="16"/>
  <c r="C75" i="16"/>
  <c r="F82" i="16"/>
  <c r="F78" i="16"/>
  <c r="C74" i="16"/>
  <c r="F75" i="16"/>
  <c r="C72" i="16"/>
  <c r="F68" i="16"/>
  <c r="C71" i="16"/>
  <c r="F67" i="16"/>
  <c r="C70" i="16"/>
  <c r="F66" i="16"/>
  <c r="C69" i="16"/>
  <c r="F65" i="16"/>
  <c r="C68" i="16"/>
  <c r="F64" i="16"/>
  <c r="C65" i="16"/>
  <c r="F62" i="16"/>
  <c r="C64" i="16"/>
  <c r="F61" i="16"/>
  <c r="C60" i="16"/>
  <c r="F57" i="16"/>
  <c r="C57" i="16"/>
  <c r="F56" i="16"/>
  <c r="C51" i="16"/>
  <c r="J30" i="16"/>
  <c r="I30" i="16"/>
  <c r="F55" i="16"/>
  <c r="C50" i="16"/>
  <c r="J17" i="16"/>
  <c r="I17" i="16"/>
  <c r="F51" i="16"/>
  <c r="C49" i="16"/>
  <c r="J29" i="16"/>
  <c r="I29" i="16"/>
  <c r="F10" i="16"/>
  <c r="C47" i="16"/>
  <c r="J27" i="16"/>
  <c r="I27" i="16"/>
  <c r="F44" i="16"/>
  <c r="C46" i="16"/>
  <c r="J10" i="16"/>
  <c r="I10" i="16"/>
  <c r="F43" i="16"/>
  <c r="C44" i="16"/>
  <c r="J22" i="16"/>
  <c r="I22" i="16"/>
  <c r="F6" i="16"/>
  <c r="C43" i="16"/>
  <c r="J20" i="16"/>
  <c r="I20" i="16"/>
  <c r="F39" i="16"/>
  <c r="C39" i="16"/>
  <c r="J28" i="16"/>
  <c r="I28" i="16"/>
  <c r="F35" i="16"/>
  <c r="C38" i="16"/>
  <c r="J4" i="16"/>
  <c r="I4" i="16"/>
  <c r="F33" i="16"/>
  <c r="C37" i="16"/>
  <c r="J15" i="16"/>
  <c r="I15" i="16"/>
  <c r="F32" i="16"/>
  <c r="C33" i="16"/>
  <c r="J12" i="16"/>
  <c r="I12" i="16"/>
  <c r="F30" i="16"/>
  <c r="C27" i="16"/>
  <c r="J16" i="16"/>
  <c r="I16" i="16"/>
  <c r="F7" i="16"/>
  <c r="C25" i="16"/>
  <c r="J13" i="16"/>
  <c r="I13" i="16"/>
  <c r="F17" i="16"/>
  <c r="C24" i="16"/>
  <c r="J6" i="16"/>
  <c r="I6" i="16"/>
  <c r="F15" i="16"/>
  <c r="C22" i="16"/>
  <c r="J14" i="16"/>
  <c r="I14" i="16"/>
  <c r="F4" i="16"/>
  <c r="C4" i="16"/>
  <c r="J7" i="16"/>
  <c r="I7" i="16"/>
  <c r="F5" i="16"/>
  <c r="C9" i="16"/>
  <c r="J5" i="16"/>
  <c r="I5" i="16"/>
  <c r="F9" i="16"/>
  <c r="C5" i="16"/>
  <c r="F397" i="13"/>
  <c r="C395" i="13"/>
  <c r="N7" i="10"/>
  <c r="J27" i="10"/>
  <c r="E27" i="10"/>
  <c r="J44" i="10"/>
  <c r="E44" i="10"/>
  <c r="J28" i="10"/>
  <c r="E28" i="10"/>
  <c r="N37" i="2"/>
  <c r="N34" i="1"/>
  <c r="K5" i="16" l="1"/>
  <c r="K4" i="16"/>
  <c r="K29" i="16"/>
  <c r="K15" i="16"/>
  <c r="K13" i="16"/>
  <c r="AE26" i="1"/>
  <c r="AE18" i="1"/>
  <c r="AE17" i="1"/>
  <c r="J31" i="1"/>
  <c r="E31" i="1"/>
  <c r="J33" i="1"/>
  <c r="E33" i="1"/>
  <c r="J24" i="1"/>
  <c r="E24" i="1"/>
  <c r="J23" i="1"/>
  <c r="E23" i="1"/>
  <c r="J21" i="1"/>
  <c r="E21" i="1"/>
  <c r="J7" i="1"/>
  <c r="E7" i="1"/>
  <c r="J52" i="1"/>
  <c r="E52" i="1"/>
  <c r="N37" i="5" l="1"/>
  <c r="J11" i="5"/>
  <c r="E11" i="5"/>
  <c r="J14" i="5"/>
  <c r="J13" i="5"/>
  <c r="J21" i="5"/>
  <c r="E21" i="5"/>
  <c r="J42" i="5"/>
  <c r="E42" i="5"/>
  <c r="J40" i="5"/>
  <c r="E40" i="5"/>
  <c r="F23" i="13"/>
  <c r="C11" i="13"/>
  <c r="J30" i="5"/>
  <c r="E30" i="5"/>
  <c r="E13" i="5"/>
  <c r="J28" i="5"/>
  <c r="E28" i="5"/>
  <c r="J23" i="5"/>
  <c r="E23" i="5"/>
  <c r="J26" i="5"/>
  <c r="E26" i="5"/>
  <c r="J14" i="4"/>
  <c r="E14" i="4"/>
  <c r="J51" i="4"/>
  <c r="E51" i="4"/>
  <c r="J21" i="4"/>
  <c r="E21" i="4"/>
  <c r="J46" i="4"/>
  <c r="E46" i="4"/>
  <c r="J48" i="4"/>
  <c r="E48" i="4"/>
  <c r="J39" i="4"/>
  <c r="E39" i="4"/>
  <c r="N29" i="4"/>
  <c r="K27" i="16" l="1"/>
  <c r="N31" i="9"/>
  <c r="AD23" i="9"/>
  <c r="AD16" i="9"/>
  <c r="J7" i="13"/>
  <c r="I7" i="13"/>
  <c r="J35" i="9"/>
  <c r="E35" i="9"/>
  <c r="J44" i="9"/>
  <c r="E44" i="9"/>
  <c r="J7" i="9"/>
  <c r="E7" i="9"/>
  <c r="J11" i="9"/>
  <c r="E11" i="9"/>
  <c r="J6" i="9"/>
  <c r="E6" i="9"/>
  <c r="J22" i="9"/>
  <c r="E22" i="9"/>
  <c r="AG5" i="14"/>
  <c r="AD24" i="14"/>
  <c r="AY15" i="14"/>
  <c r="AV15" i="14"/>
  <c r="AS15" i="14"/>
  <c r="AP15" i="14"/>
  <c r="AM15" i="14"/>
  <c r="AJ15" i="14"/>
  <c r="AG15" i="14"/>
  <c r="BE6" i="14"/>
  <c r="BB6" i="14"/>
  <c r="AY6" i="14"/>
  <c r="AV6" i="14"/>
  <c r="AS6" i="14"/>
  <c r="AP6" i="14"/>
  <c r="AM6" i="14"/>
  <c r="AJ6" i="14"/>
  <c r="AG6" i="14"/>
  <c r="K7" i="13" l="1"/>
  <c r="J36" i="14"/>
  <c r="E36" i="14"/>
  <c r="N39" i="6"/>
  <c r="J57" i="6"/>
  <c r="J56" i="6"/>
  <c r="J55" i="6"/>
  <c r="J54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E57" i="6"/>
  <c r="E56" i="6"/>
  <c r="E55" i="6"/>
  <c r="E54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F26" i="16" l="1"/>
  <c r="C18" i="16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1" i="3"/>
  <c r="E30" i="3"/>
  <c r="E28" i="3"/>
  <c r="E27" i="3"/>
  <c r="E26" i="3"/>
  <c r="E24" i="3"/>
  <c r="E23" i="3"/>
  <c r="E22" i="3"/>
  <c r="E21" i="3"/>
  <c r="E20" i="3"/>
  <c r="E19" i="3"/>
  <c r="E18" i="3"/>
  <c r="C42" i="16" s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1" i="3"/>
  <c r="J30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N36" i="6"/>
  <c r="AE19" i="6"/>
  <c r="AE29" i="10"/>
  <c r="AE28" i="10"/>
  <c r="AE15" i="10"/>
  <c r="J25" i="10"/>
  <c r="E25" i="10"/>
  <c r="N33" i="14"/>
  <c r="AD23" i="14"/>
  <c r="N35" i="5"/>
  <c r="N32" i="5"/>
  <c r="K17" i="16" l="1"/>
  <c r="N30" i="4"/>
  <c r="N28" i="4"/>
  <c r="J28" i="4"/>
  <c r="E28" i="4"/>
  <c r="N25" i="11"/>
  <c r="N36" i="2" l="1"/>
  <c r="AD34" i="2"/>
  <c r="AD17" i="2"/>
  <c r="N34" i="3"/>
  <c r="AE33" i="3"/>
  <c r="AE32" i="3"/>
  <c r="AE24" i="3"/>
  <c r="AE14" i="3"/>
  <c r="AD28" i="4"/>
  <c r="AD27" i="4"/>
  <c r="AD16" i="4"/>
  <c r="Q25" i="11"/>
  <c r="AE13" i="11" l="1"/>
  <c r="F440" i="13" l="1"/>
  <c r="C439" i="13"/>
  <c r="J46" i="9"/>
  <c r="E46" i="9"/>
  <c r="J62" i="13" l="1"/>
  <c r="I62" i="13"/>
  <c r="J60" i="13"/>
  <c r="I60" i="13"/>
  <c r="J59" i="13"/>
  <c r="I59" i="13"/>
  <c r="J58" i="13"/>
  <c r="I58" i="13"/>
  <c r="J57" i="13"/>
  <c r="I57" i="13"/>
  <c r="J56" i="13"/>
  <c r="I56" i="13"/>
  <c r="J54" i="13"/>
  <c r="I54" i="13"/>
  <c r="J52" i="13"/>
  <c r="I52" i="13"/>
  <c r="J49" i="13"/>
  <c r="I49" i="13"/>
  <c r="J27" i="13"/>
  <c r="I27" i="13"/>
  <c r="J47" i="13"/>
  <c r="I47" i="13"/>
  <c r="J44" i="13"/>
  <c r="I44" i="13"/>
  <c r="J41" i="13"/>
  <c r="I41" i="13"/>
  <c r="J39" i="13"/>
  <c r="I39" i="13"/>
  <c r="J37" i="13"/>
  <c r="I37" i="13"/>
  <c r="J13" i="13"/>
  <c r="I13" i="13"/>
  <c r="J34" i="13"/>
  <c r="I34" i="13"/>
  <c r="J33" i="13"/>
  <c r="I33" i="13"/>
  <c r="J32" i="13"/>
  <c r="I32" i="13"/>
  <c r="J26" i="13"/>
  <c r="I26" i="13"/>
  <c r="K26" i="13" l="1"/>
  <c r="K13" i="13"/>
  <c r="K27" i="13"/>
  <c r="J25" i="13"/>
  <c r="I25" i="13"/>
  <c r="J45" i="13"/>
  <c r="I45" i="13"/>
  <c r="F337" i="13"/>
  <c r="C333" i="13"/>
  <c r="J25" i="2"/>
  <c r="E25" i="2"/>
  <c r="K25" i="13" l="1"/>
  <c r="F120" i="13"/>
  <c r="C106" i="13"/>
  <c r="J5" i="14"/>
  <c r="E5" i="14"/>
  <c r="J48" i="13" l="1"/>
  <c r="I48" i="13"/>
  <c r="F278" i="13" l="1"/>
  <c r="C273" i="13"/>
  <c r="J16" i="9"/>
  <c r="E16" i="9"/>
  <c r="F79" i="13"/>
  <c r="C64" i="13"/>
  <c r="J22" i="1"/>
  <c r="E22" i="1"/>
  <c r="J36" i="13" l="1"/>
  <c r="I36" i="13"/>
  <c r="J63" i="13"/>
  <c r="I63" i="13"/>
  <c r="J17" i="13" l="1"/>
  <c r="I17" i="13"/>
  <c r="J51" i="13"/>
  <c r="I51" i="13"/>
  <c r="J42" i="13"/>
  <c r="I42" i="13"/>
  <c r="J18" i="13"/>
  <c r="I18" i="13"/>
  <c r="J38" i="13"/>
  <c r="I38" i="13"/>
  <c r="J46" i="13"/>
  <c r="I46" i="13"/>
  <c r="J55" i="13"/>
  <c r="I55" i="13"/>
  <c r="J6" i="13"/>
  <c r="I6" i="13"/>
  <c r="J43" i="13"/>
  <c r="I43" i="13"/>
  <c r="J9" i="13"/>
  <c r="I9" i="13"/>
  <c r="K17" i="13" l="1"/>
  <c r="K6" i="13"/>
  <c r="K18" i="13"/>
  <c r="K9" i="13"/>
  <c r="F343" i="13"/>
  <c r="C339" i="13"/>
  <c r="J26" i="2"/>
  <c r="E26" i="2"/>
  <c r="F437" i="13"/>
  <c r="C436" i="13"/>
  <c r="F103" i="13" l="1"/>
  <c r="C90" i="13"/>
  <c r="K20" i="16"/>
  <c r="F232" i="13"/>
  <c r="C224" i="13"/>
  <c r="F200" i="13" l="1"/>
  <c r="C189" i="13"/>
  <c r="J4" i="9"/>
  <c r="E4" i="9"/>
  <c r="J40" i="11"/>
  <c r="E40" i="11"/>
  <c r="F217" i="13"/>
  <c r="C208" i="13"/>
  <c r="J6" i="5"/>
  <c r="E6" i="5"/>
  <c r="J49" i="4"/>
  <c r="E49" i="4"/>
  <c r="F372" i="13"/>
  <c r="C370" i="13"/>
  <c r="J30" i="9"/>
  <c r="E30" i="9"/>
  <c r="F324" i="13"/>
  <c r="C320" i="13"/>
  <c r="J28" i="1"/>
  <c r="E28" i="1"/>
  <c r="F448" i="13" l="1"/>
  <c r="C448" i="13"/>
  <c r="I55" i="14"/>
  <c r="J54" i="14"/>
  <c r="H55" i="14"/>
  <c r="G55" i="14"/>
  <c r="D55" i="14"/>
  <c r="E54" i="14"/>
  <c r="C55" i="14"/>
  <c r="B55" i="14"/>
  <c r="F181" i="13" l="1"/>
  <c r="C170" i="13"/>
  <c r="F333" i="13"/>
  <c r="C329" i="13"/>
  <c r="J30" i="1"/>
  <c r="E30" i="1"/>
  <c r="F234" i="13"/>
  <c r="C226" i="13"/>
  <c r="J11" i="1"/>
  <c r="E11" i="1"/>
  <c r="F251" i="13"/>
  <c r="C243" i="13"/>
  <c r="J13" i="1"/>
  <c r="E13" i="1"/>
  <c r="K14" i="16"/>
  <c r="F430" i="13"/>
  <c r="C429" i="13"/>
  <c r="J50" i="14"/>
  <c r="E50" i="14"/>
  <c r="K30" i="16"/>
  <c r="F298" i="13"/>
  <c r="C293" i="13"/>
  <c r="J23" i="4"/>
  <c r="E23" i="4"/>
  <c r="F320" i="13" l="1"/>
  <c r="C316" i="13"/>
  <c r="J26" i="10"/>
  <c r="E26" i="10"/>
  <c r="K7" i="16"/>
  <c r="F211" i="13"/>
  <c r="C201" i="13"/>
  <c r="N33" i="3"/>
  <c r="K6" i="16"/>
  <c r="J12" i="13" l="1"/>
  <c r="I12" i="13"/>
  <c r="J11" i="11"/>
  <c r="E11" i="11"/>
  <c r="J34" i="5"/>
  <c r="E34" i="5"/>
  <c r="K12" i="13" l="1"/>
  <c r="F438" i="13"/>
  <c r="C437" i="13"/>
  <c r="J45" i="9"/>
  <c r="E45" i="9"/>
  <c r="F428" i="13" l="1"/>
  <c r="C427" i="13"/>
  <c r="J41" i="2"/>
  <c r="E41" i="2"/>
  <c r="AJ31" i="14" l="1"/>
  <c r="AG31" i="14"/>
  <c r="C109" i="13" l="1"/>
  <c r="F202" i="13" l="1"/>
  <c r="C192" i="13"/>
  <c r="J43" i="1" l="1"/>
  <c r="E43" i="1"/>
  <c r="J30" i="13"/>
  <c r="I30" i="13"/>
  <c r="F418" i="13" l="1"/>
  <c r="C417" i="13"/>
  <c r="J47" i="14"/>
  <c r="E47" i="14"/>
  <c r="F210" i="13" l="1"/>
  <c r="C200" i="13"/>
  <c r="J8" i="10"/>
  <c r="E8" i="10"/>
  <c r="F334" i="13" l="1"/>
  <c r="C330" i="13"/>
  <c r="F287" i="13"/>
  <c r="C282" i="13"/>
  <c r="J26" i="14"/>
  <c r="E26" i="14"/>
  <c r="F44" i="13"/>
  <c r="C28" i="13"/>
  <c r="J6" i="14"/>
  <c r="E6" i="14"/>
  <c r="F285" i="13"/>
  <c r="C280" i="13"/>
  <c r="J25" i="14"/>
  <c r="E25" i="14"/>
  <c r="F160" i="13"/>
  <c r="C148" i="13"/>
  <c r="J41" i="14"/>
  <c r="E41" i="14"/>
  <c r="F208" i="13"/>
  <c r="C198" i="13"/>
  <c r="J5" i="9"/>
  <c r="E5" i="9"/>
  <c r="F422" i="13"/>
  <c r="C421" i="13"/>
  <c r="J43" i="5"/>
  <c r="E43" i="5"/>
  <c r="F434" i="13"/>
  <c r="C433" i="13"/>
  <c r="J45" i="5"/>
  <c r="E45" i="5"/>
  <c r="F327" i="13"/>
  <c r="C323" i="13"/>
  <c r="F366" i="13"/>
  <c r="C364" i="13"/>
  <c r="J36" i="1"/>
  <c r="E36" i="1"/>
  <c r="F78" i="13"/>
  <c r="C63" i="13"/>
  <c r="J20" i="1"/>
  <c r="E20" i="1"/>
  <c r="F13" i="13" l="1"/>
  <c r="C167" i="13"/>
  <c r="F258" i="13"/>
  <c r="C250" i="13"/>
  <c r="J14" i="6"/>
  <c r="E14" i="6"/>
  <c r="K22" i="16"/>
  <c r="K28" i="16"/>
  <c r="F400" i="13"/>
  <c r="C399" i="13"/>
  <c r="J42" i="4"/>
  <c r="E42" i="4"/>
  <c r="F304" i="13"/>
  <c r="C300" i="13"/>
  <c r="J24" i="4"/>
  <c r="E24" i="4"/>
  <c r="F262" i="13"/>
  <c r="C254" i="13"/>
  <c r="J16" i="1"/>
  <c r="E16" i="1"/>
  <c r="F411" i="13"/>
  <c r="C410" i="13"/>
  <c r="J46" i="1"/>
  <c r="E46" i="1"/>
  <c r="F510" i="16"/>
  <c r="N28" i="10"/>
  <c r="F393" i="13"/>
  <c r="C391" i="13"/>
  <c r="J38" i="10"/>
  <c r="E38" i="10"/>
  <c r="F350" i="13"/>
  <c r="C346" i="13"/>
  <c r="J30" i="10"/>
  <c r="E30" i="10"/>
  <c r="K12" i="16" l="1"/>
  <c r="K10" i="16"/>
  <c r="K16" i="16"/>
  <c r="F83" i="13" l="1"/>
  <c r="C68" i="13"/>
  <c r="J25" i="4"/>
  <c r="E25" i="4"/>
  <c r="F121" i="13" l="1"/>
  <c r="C107" i="13"/>
  <c r="J5" i="2"/>
  <c r="E5" i="2"/>
  <c r="E9" i="9" l="1"/>
  <c r="J22" i="11"/>
  <c r="E22" i="11"/>
  <c r="J5" i="13" l="1"/>
  <c r="I5" i="13"/>
  <c r="J10" i="13"/>
  <c r="I10" i="13"/>
  <c r="J50" i="13"/>
  <c r="I50" i="13"/>
  <c r="J23" i="13"/>
  <c r="I23" i="13"/>
  <c r="J21" i="13"/>
  <c r="I21" i="13"/>
  <c r="F149" i="13"/>
  <c r="C137" i="13"/>
  <c r="J21" i="9"/>
  <c r="E21" i="9"/>
  <c r="K21" i="13" l="1"/>
  <c r="K5" i="13"/>
  <c r="K10" i="13"/>
  <c r="K23" i="13"/>
  <c r="AY26" i="14"/>
  <c r="AS26" i="14"/>
  <c r="AM26" i="14"/>
  <c r="AJ23" i="14"/>
  <c r="AV17" i="14"/>
  <c r="AP17" i="14"/>
  <c r="AJ17" i="14"/>
  <c r="AG14" i="14"/>
  <c r="AG8" i="14" l="1"/>
  <c r="C48" i="13"/>
  <c r="F63" i="13"/>
  <c r="J48" i="14"/>
  <c r="E48" i="14"/>
  <c r="C196" i="13"/>
  <c r="F206" i="13"/>
  <c r="J8" i="14"/>
  <c r="E8" i="14"/>
  <c r="F123" i="13"/>
  <c r="J11" i="14"/>
  <c r="E11" i="14"/>
  <c r="F187" i="13"/>
  <c r="C176" i="13"/>
  <c r="J4" i="14"/>
  <c r="E4" i="14"/>
  <c r="F317" i="13"/>
  <c r="C313" i="13"/>
  <c r="J32" i="14"/>
  <c r="E32" i="14"/>
  <c r="AH29" i="10" l="1"/>
  <c r="AH28" i="10"/>
  <c r="AH23" i="10"/>
  <c r="AH15" i="10"/>
  <c r="AH6" i="10"/>
  <c r="F244" i="13"/>
  <c r="C236" i="13"/>
  <c r="F196" i="13"/>
  <c r="C185" i="13"/>
  <c r="J5" i="10"/>
  <c r="E5" i="10"/>
  <c r="F113" i="13"/>
  <c r="C98" i="13"/>
  <c r="J3" i="10"/>
  <c r="E3" i="10"/>
  <c r="I49" i="10"/>
  <c r="H49" i="10"/>
  <c r="G49" i="10"/>
  <c r="D49" i="10"/>
  <c r="C49" i="10"/>
  <c r="B49" i="10"/>
  <c r="AG17" i="9" l="1"/>
  <c r="AG10" i="9"/>
  <c r="AG6" i="9"/>
  <c r="AG5" i="9"/>
  <c r="AH25" i="11" l="1"/>
  <c r="AH13" i="11"/>
  <c r="AH5" i="11"/>
  <c r="J21" i="11" l="1"/>
  <c r="E21" i="11"/>
  <c r="J34" i="11"/>
  <c r="E34" i="11"/>
  <c r="J16" i="11"/>
  <c r="E16" i="11"/>
  <c r="J18" i="11"/>
  <c r="E18" i="11"/>
  <c r="I50" i="11"/>
  <c r="H50" i="11"/>
  <c r="G50" i="11"/>
  <c r="D50" i="11"/>
  <c r="C50" i="11"/>
  <c r="B50" i="11"/>
  <c r="J3" i="11"/>
  <c r="E3" i="11"/>
  <c r="J25" i="11"/>
  <c r="E25" i="11"/>
  <c r="J39" i="11"/>
  <c r="E39" i="11"/>
  <c r="AG7" i="5" l="1"/>
  <c r="F180" i="13"/>
  <c r="C169" i="13"/>
  <c r="C173" i="13"/>
  <c r="F203" i="13" l="1"/>
  <c r="C193" i="13"/>
  <c r="J5" i="5"/>
  <c r="E5" i="5"/>
  <c r="AG32" i="4" l="1"/>
  <c r="AG21" i="4"/>
  <c r="AG16" i="4"/>
  <c r="AG9" i="4"/>
  <c r="F329" i="13"/>
  <c r="C325" i="13"/>
  <c r="J30" i="4"/>
  <c r="E30" i="4"/>
  <c r="F184" i="13"/>
  <c r="AH33" i="3" l="1"/>
  <c r="AH17" i="3"/>
  <c r="AH15" i="3"/>
  <c r="AH14" i="3"/>
  <c r="AH5" i="3"/>
  <c r="AH4" i="3"/>
  <c r="F445" i="13"/>
  <c r="C445" i="13"/>
  <c r="I53" i="3"/>
  <c r="H53" i="3"/>
  <c r="G53" i="3"/>
  <c r="D53" i="3"/>
  <c r="C53" i="3"/>
  <c r="B53" i="3"/>
  <c r="AG36" i="2" l="1"/>
  <c r="AG18" i="2"/>
  <c r="AG10" i="2"/>
  <c r="AG9" i="2"/>
  <c r="E33" i="2"/>
  <c r="AH19" i="6" l="1"/>
  <c r="F281" i="13"/>
  <c r="C276" i="13"/>
  <c r="J19" i="6"/>
  <c r="E19" i="6"/>
  <c r="F186" i="13"/>
  <c r="C175" i="13"/>
  <c r="J3" i="6"/>
  <c r="E3" i="6"/>
  <c r="F374" i="13"/>
  <c r="C372" i="13"/>
  <c r="F426" i="13"/>
  <c r="C425" i="13"/>
  <c r="F286" i="13"/>
  <c r="C281" i="13"/>
  <c r="J20" i="6"/>
  <c r="E20" i="6"/>
  <c r="F136" i="13"/>
  <c r="C123" i="13"/>
  <c r="F280" i="13"/>
  <c r="C275" i="13"/>
  <c r="J18" i="6"/>
  <c r="E18" i="6"/>
  <c r="J17" i="6"/>
  <c r="E17" i="6"/>
  <c r="F276" i="13"/>
  <c r="C271" i="13"/>
  <c r="J16" i="6"/>
  <c r="E16" i="6"/>
  <c r="F451" i="13"/>
  <c r="C451" i="13"/>
  <c r="F20" i="13"/>
  <c r="C8" i="13"/>
  <c r="F235" i="13"/>
  <c r="C227" i="13"/>
  <c r="J12" i="6"/>
  <c r="E12" i="6"/>
  <c r="F189" i="13"/>
  <c r="C178" i="13"/>
  <c r="J4" i="6"/>
  <c r="E4" i="6"/>
  <c r="F431" i="13" l="1"/>
  <c r="C430" i="13"/>
  <c r="J50" i="1"/>
  <c r="E50" i="1"/>
  <c r="F163" i="13"/>
  <c r="C152" i="13"/>
  <c r="J39" i="1"/>
  <c r="E39" i="1"/>
  <c r="AH26" i="1" l="1"/>
  <c r="F236" i="13" l="1"/>
  <c r="C228" i="13"/>
  <c r="J12" i="4"/>
  <c r="E12" i="4"/>
  <c r="F264" i="13" l="1"/>
  <c r="C256" i="13"/>
  <c r="F316" i="13" l="1"/>
  <c r="C312" i="13"/>
  <c r="J24" i="2"/>
  <c r="E24" i="2"/>
  <c r="I58" i="6"/>
  <c r="H58" i="6"/>
  <c r="G58" i="6"/>
  <c r="D58" i="6"/>
  <c r="C58" i="6"/>
  <c r="B58" i="6"/>
  <c r="AV21" i="4" l="1"/>
  <c r="AP21" i="4"/>
  <c r="AJ21" i="4"/>
  <c r="F421" i="13" l="1"/>
  <c r="C420" i="13"/>
  <c r="J41" i="5"/>
  <c r="E41" i="5"/>
  <c r="F282" i="13" l="1"/>
  <c r="C277" i="13"/>
  <c r="J24" i="14"/>
  <c r="E24" i="14"/>
  <c r="AW4" i="10" l="1"/>
  <c r="J31" i="11"/>
  <c r="E31" i="11"/>
  <c r="J4" i="11"/>
  <c r="E4" i="11"/>
  <c r="F14" i="13" l="1"/>
  <c r="C52" i="13"/>
  <c r="J3" i="9"/>
  <c r="E3" i="9"/>
  <c r="F49" i="13" l="1"/>
  <c r="C33" i="13"/>
  <c r="J10" i="2"/>
  <c r="E10" i="2"/>
  <c r="F73" i="13"/>
  <c r="C56" i="13"/>
  <c r="J11" i="10"/>
  <c r="E11" i="10"/>
  <c r="F226" i="13" l="1"/>
  <c r="C217" i="13"/>
  <c r="J12" i="14"/>
  <c r="E12" i="14"/>
  <c r="E19" i="10"/>
  <c r="J19" i="10"/>
  <c r="AQ17" i="1"/>
  <c r="AN17" i="1"/>
  <c r="AK17" i="1"/>
  <c r="AT10" i="1"/>
  <c r="AQ10" i="1"/>
  <c r="AN10" i="1"/>
  <c r="AK10" i="1"/>
  <c r="F19" i="13" l="1"/>
  <c r="C7" i="13"/>
  <c r="J43" i="9" l="1"/>
  <c r="J41" i="9"/>
  <c r="J40" i="9"/>
  <c r="J39" i="9"/>
  <c r="J37" i="9"/>
  <c r="J36" i="9"/>
  <c r="J34" i="9"/>
  <c r="J33" i="9"/>
  <c r="J32" i="9"/>
  <c r="J29" i="9"/>
  <c r="J28" i="9"/>
  <c r="J27" i="9"/>
  <c r="E43" i="9"/>
  <c r="E37" i="9"/>
  <c r="E36" i="9"/>
  <c r="E34" i="9"/>
  <c r="E33" i="9"/>
  <c r="E32" i="9"/>
  <c r="E29" i="9"/>
  <c r="E28" i="9"/>
  <c r="E27" i="9"/>
  <c r="J14" i="9"/>
  <c r="J12" i="9"/>
  <c r="J10" i="9"/>
  <c r="J9" i="9"/>
  <c r="E14" i="9"/>
  <c r="F444" i="13"/>
  <c r="C444" i="13"/>
  <c r="F175" i="13"/>
  <c r="C166" i="13"/>
  <c r="F424" i="13"/>
  <c r="C423" i="13"/>
  <c r="F100" i="13"/>
  <c r="C87" i="13"/>
  <c r="F169" i="13"/>
  <c r="C159" i="13"/>
  <c r="F404" i="13"/>
  <c r="C403" i="13"/>
  <c r="F110" i="13"/>
  <c r="C151" i="13"/>
  <c r="F375" i="13"/>
  <c r="C373" i="13"/>
  <c r="F91" i="13"/>
  <c r="C76" i="13"/>
  <c r="F345" i="13"/>
  <c r="F344" i="13"/>
  <c r="C341" i="13"/>
  <c r="C340" i="13"/>
  <c r="F301" i="13"/>
  <c r="F141" i="13"/>
  <c r="C297" i="13"/>
  <c r="C128" i="13"/>
  <c r="F283" i="13"/>
  <c r="C278" i="13"/>
  <c r="F125" i="13"/>
  <c r="C112" i="13"/>
  <c r="F227" i="13"/>
  <c r="F61" i="13"/>
  <c r="C218" i="13"/>
  <c r="C46" i="13"/>
  <c r="F336" i="13"/>
  <c r="J24" i="13"/>
  <c r="I24" i="13"/>
  <c r="C332" i="13"/>
  <c r="J49" i="5"/>
  <c r="J36" i="5"/>
  <c r="E36" i="5"/>
  <c r="K24" i="13" l="1"/>
  <c r="F28" i="13"/>
  <c r="C16" i="13"/>
  <c r="J23" i="14"/>
  <c r="E23" i="14"/>
  <c r="F93" i="13"/>
  <c r="C79" i="13"/>
  <c r="J40" i="4"/>
  <c r="E40" i="4"/>
  <c r="F370" i="13" l="1"/>
  <c r="C368" i="13"/>
  <c r="J29" i="2"/>
  <c r="E29" i="2"/>
  <c r="F10" i="13"/>
  <c r="C398" i="13"/>
  <c r="J44" i="1"/>
  <c r="E44" i="1"/>
  <c r="F212" i="13" l="1"/>
  <c r="C203" i="13"/>
  <c r="AS9" i="4" l="1"/>
  <c r="AP9" i="4"/>
  <c r="AM9" i="4"/>
  <c r="AJ9" i="4"/>
  <c r="F42" i="13"/>
  <c r="C257" i="13"/>
  <c r="J18" i="4"/>
  <c r="E18" i="4"/>
  <c r="J8" i="13"/>
  <c r="I8" i="13"/>
  <c r="F115" i="13"/>
  <c r="C101" i="13"/>
  <c r="J4" i="1"/>
  <c r="E4" i="1"/>
  <c r="I49" i="2"/>
  <c r="H49" i="2"/>
  <c r="G49" i="2"/>
  <c r="D49" i="2"/>
  <c r="C49" i="2"/>
  <c r="B49" i="2"/>
  <c r="K8" i="13" l="1"/>
  <c r="F67" i="13"/>
  <c r="F326" i="13"/>
  <c r="C322" i="13"/>
  <c r="E34" i="14"/>
  <c r="J34" i="14"/>
  <c r="J42" i="10"/>
  <c r="E42" i="10"/>
  <c r="J33" i="10"/>
  <c r="E33" i="10"/>
  <c r="F263" i="13"/>
  <c r="C255" i="13"/>
  <c r="F197" i="13"/>
  <c r="C186" i="13"/>
  <c r="J6" i="10"/>
  <c r="E6" i="10"/>
  <c r="F188" i="13"/>
  <c r="C177" i="13"/>
  <c r="J4" i="10"/>
  <c r="E4" i="10"/>
  <c r="F170" i="13"/>
  <c r="C161" i="13"/>
  <c r="C10" i="13"/>
  <c r="F22" i="13"/>
  <c r="F359" i="13"/>
  <c r="C356" i="13"/>
  <c r="F89" i="13"/>
  <c r="C74" i="13"/>
  <c r="F331" i="13"/>
  <c r="C327" i="13"/>
  <c r="E23" i="9"/>
  <c r="J23" i="9"/>
  <c r="F271" i="13"/>
  <c r="C266" i="13"/>
  <c r="F242" i="13"/>
  <c r="C234" i="13"/>
  <c r="J47" i="11"/>
  <c r="E47" i="11"/>
  <c r="J32" i="11"/>
  <c r="E32" i="11"/>
  <c r="J17" i="11"/>
  <c r="E17" i="11"/>
  <c r="F453" i="13"/>
  <c r="C453" i="13"/>
  <c r="J51" i="5"/>
  <c r="E51" i="5"/>
  <c r="F106" i="13"/>
  <c r="C93" i="13"/>
  <c r="E49" i="5"/>
  <c r="F7" i="13"/>
  <c r="C156" i="13"/>
  <c r="F138" i="13"/>
  <c r="C125" i="13"/>
  <c r="E14" i="5"/>
  <c r="F68" i="13"/>
  <c r="C100" i="13"/>
  <c r="J4" i="5"/>
  <c r="E4" i="5"/>
  <c r="J47" i="4"/>
  <c r="E47" i="4"/>
  <c r="F209" i="13"/>
  <c r="C199" i="13"/>
  <c r="E8" i="4"/>
  <c r="J8" i="4"/>
  <c r="F139" i="13"/>
  <c r="C126" i="13"/>
  <c r="F391" i="13"/>
  <c r="C389" i="13"/>
  <c r="J33" i="2"/>
  <c r="F295" i="13"/>
  <c r="C289" i="13"/>
  <c r="J16" i="2"/>
  <c r="E16" i="2"/>
  <c r="F137" i="13"/>
  <c r="C124" i="13"/>
  <c r="E15" i="2"/>
  <c r="J15" i="2"/>
  <c r="F27" i="13"/>
  <c r="C15" i="13"/>
  <c r="J12" i="2"/>
  <c r="E12" i="2"/>
  <c r="F198" i="13"/>
  <c r="C187" i="13"/>
  <c r="J4" i="2"/>
  <c r="E4" i="2"/>
  <c r="F161" i="13"/>
  <c r="C149" i="13"/>
  <c r="F30" i="13"/>
  <c r="C18" i="13"/>
  <c r="F124" i="13"/>
  <c r="C111" i="13"/>
  <c r="J10" i="6"/>
  <c r="E10" i="6"/>
  <c r="F296" i="13"/>
  <c r="C291" i="13"/>
  <c r="J26" i="1"/>
  <c r="E26" i="1"/>
  <c r="AJ34" i="14"/>
  <c r="AK29" i="10"/>
  <c r="AK23" i="10"/>
  <c r="AK22" i="10"/>
  <c r="AK6" i="10"/>
  <c r="AJ33" i="9"/>
  <c r="AJ10" i="9"/>
  <c r="AJ6" i="9"/>
  <c r="AK5" i="11"/>
  <c r="AJ32" i="4"/>
  <c r="AJ16" i="4"/>
  <c r="AK34" i="3"/>
  <c r="AJ36" i="2"/>
  <c r="AJ18" i="2"/>
  <c r="AJ10" i="2"/>
  <c r="C65" i="13"/>
  <c r="AK27" i="6"/>
  <c r="AK19" i="6"/>
  <c r="F405" i="13" l="1"/>
  <c r="C404" i="13"/>
  <c r="F185" i="13"/>
  <c r="C174" i="13"/>
  <c r="F116" i="13"/>
  <c r="C102" i="13"/>
  <c r="F51" i="13"/>
  <c r="C35" i="13"/>
  <c r="F8" i="13"/>
  <c r="AK11" i="1" l="1"/>
  <c r="F292" i="13" l="1"/>
  <c r="C286" i="13"/>
  <c r="J27" i="14"/>
  <c r="E27" i="14"/>
  <c r="F172" i="13" l="1"/>
  <c r="C163" i="13"/>
  <c r="J53" i="1"/>
  <c r="E53" i="1"/>
  <c r="F192" i="13"/>
  <c r="C181" i="13"/>
  <c r="J4" i="4"/>
  <c r="E4" i="4"/>
  <c r="F213" i="13" l="1"/>
  <c r="C204" i="13"/>
  <c r="J6" i="2"/>
  <c r="E6" i="2"/>
  <c r="F6" i="13" l="1"/>
  <c r="C261" i="13"/>
  <c r="J20" i="10"/>
  <c r="E20" i="10"/>
  <c r="F140" i="13" l="1"/>
  <c r="C127" i="13"/>
  <c r="J23" i="6"/>
  <c r="E23" i="6"/>
  <c r="F75" i="13"/>
  <c r="C58" i="13"/>
  <c r="J16" i="14"/>
  <c r="E16" i="14"/>
  <c r="F351" i="13" l="1"/>
  <c r="C348" i="13"/>
  <c r="J31" i="10"/>
  <c r="E31" i="10"/>
  <c r="F299" i="13" l="1"/>
  <c r="C295" i="13"/>
  <c r="J23" i="10"/>
  <c r="E23" i="10"/>
  <c r="J6" i="6" l="1"/>
  <c r="E6" i="6"/>
  <c r="F314" i="13"/>
  <c r="C310" i="13"/>
  <c r="F17" i="13" l="1"/>
  <c r="C6" i="13"/>
  <c r="J11" i="2"/>
  <c r="E11" i="2"/>
  <c r="F307" i="13" l="1"/>
  <c r="C303" i="13"/>
  <c r="J19" i="9"/>
  <c r="E19" i="9"/>
  <c r="F410" i="13"/>
  <c r="C409" i="13"/>
  <c r="E41" i="9"/>
  <c r="AK8" i="3" l="1"/>
  <c r="AK5" i="3"/>
  <c r="F338" i="13" l="1"/>
  <c r="C334" i="13"/>
  <c r="F182" i="13"/>
  <c r="C171" i="13"/>
  <c r="J3" i="4"/>
  <c r="E3" i="4"/>
  <c r="F289" i="13"/>
  <c r="C284" i="13"/>
  <c r="J25" i="1"/>
  <c r="E25" i="1"/>
  <c r="F313" i="13"/>
  <c r="C309" i="13"/>
  <c r="F312" i="13"/>
  <c r="C308" i="13"/>
  <c r="J23" i="2"/>
  <c r="E23" i="2"/>
  <c r="J22" i="2"/>
  <c r="E22" i="2"/>
  <c r="F221" i="13"/>
  <c r="C212" i="13"/>
  <c r="J8" i="2"/>
  <c r="E8" i="2"/>
  <c r="F168" i="13" l="1"/>
  <c r="C158" i="13"/>
  <c r="J36" i="2"/>
  <c r="E36" i="2"/>
  <c r="J9" i="10" l="1"/>
  <c r="E9" i="10"/>
  <c r="C35" i="16" s="1"/>
  <c r="C510" i="16" s="1"/>
  <c r="F111" i="13"/>
  <c r="C443" i="13"/>
  <c r="J45" i="14"/>
  <c r="E45" i="14"/>
  <c r="J24" i="5" l="1"/>
  <c r="E24" i="5"/>
  <c r="J29" i="1" l="1"/>
  <c r="E29" i="1"/>
  <c r="F142" i="13"/>
  <c r="C129" i="13"/>
  <c r="J27" i="1"/>
  <c r="E27" i="1"/>
  <c r="F398" i="13" l="1"/>
  <c r="C396" i="13"/>
  <c r="F339" i="13"/>
  <c r="C335" i="13"/>
  <c r="J25" i="9"/>
  <c r="E25" i="9"/>
  <c r="J14" i="13" l="1"/>
  <c r="I14" i="13"/>
  <c r="C83" i="13"/>
  <c r="K14" i="13" l="1"/>
  <c r="J22" i="13"/>
  <c r="I22" i="13"/>
  <c r="K22" i="13" l="1"/>
  <c r="F257" i="13"/>
  <c r="C249" i="13"/>
  <c r="J19" i="14"/>
  <c r="E19" i="14"/>
  <c r="F56" i="13" l="1"/>
  <c r="C40" i="13"/>
  <c r="F446" i="13"/>
  <c r="F353" i="13"/>
  <c r="C446" i="13"/>
  <c r="C350" i="13"/>
  <c r="J52" i="14"/>
  <c r="E52" i="14"/>
  <c r="J39" i="14"/>
  <c r="E39" i="14"/>
  <c r="F127" i="13" l="1"/>
  <c r="C114" i="13"/>
  <c r="F361" i="13"/>
  <c r="C358" i="13"/>
  <c r="J35" i="4" l="1"/>
  <c r="E35" i="4"/>
  <c r="I55" i="1"/>
  <c r="H55" i="1"/>
  <c r="G55" i="1"/>
  <c r="D55" i="1"/>
  <c r="C55" i="1"/>
  <c r="B55" i="1"/>
  <c r="AW27" i="6"/>
  <c r="AQ27" i="6"/>
  <c r="AZ19" i="6"/>
  <c r="AT19" i="6"/>
  <c r="F176" i="13" l="1"/>
  <c r="C190" i="13"/>
  <c r="F360" i="13"/>
  <c r="C357" i="13"/>
  <c r="F408" i="13"/>
  <c r="C407" i="13"/>
  <c r="F204" i="13"/>
  <c r="C194" i="13"/>
  <c r="F218" i="13"/>
  <c r="C209" i="13"/>
  <c r="F368" i="13"/>
  <c r="C366" i="13"/>
  <c r="J34" i="4"/>
  <c r="E34" i="4"/>
  <c r="J43" i="4"/>
  <c r="E43" i="4"/>
  <c r="J7" i="4"/>
  <c r="E7" i="4"/>
  <c r="J9" i="4"/>
  <c r="E9" i="4"/>
  <c r="J37" i="4"/>
  <c r="E37" i="4"/>
  <c r="F352" i="13"/>
  <c r="C349" i="13"/>
  <c r="F105" i="13"/>
  <c r="C92" i="13"/>
  <c r="F148" i="13"/>
  <c r="C136" i="13"/>
  <c r="F144" i="13"/>
  <c r="C131" i="13"/>
  <c r="J19" i="5"/>
  <c r="E19" i="5"/>
  <c r="J18" i="5"/>
  <c r="E18" i="5"/>
  <c r="J27" i="5"/>
  <c r="E27" i="5"/>
  <c r="J47" i="5"/>
  <c r="E47" i="5"/>
  <c r="F223" i="13"/>
  <c r="C214" i="13"/>
  <c r="J7" i="5"/>
  <c r="E7" i="5"/>
  <c r="J36" i="11" l="1"/>
  <c r="E36" i="11"/>
  <c r="F427" i="13" l="1"/>
  <c r="C426" i="13"/>
  <c r="J40" i="2"/>
  <c r="E40" i="2"/>
  <c r="F74" i="13" l="1"/>
  <c r="C57" i="13" l="1"/>
  <c r="J10" i="5"/>
  <c r="E10" i="5"/>
  <c r="F177" i="13" l="1"/>
  <c r="C347" i="13"/>
  <c r="J20" i="13"/>
  <c r="I20" i="13"/>
  <c r="AM8" i="14"/>
  <c r="AN22" i="10"/>
  <c r="AN6" i="10"/>
  <c r="AM24" i="9"/>
  <c r="AM7" i="5"/>
  <c r="AM22" i="4"/>
  <c r="AN15" i="3"/>
  <c r="AM10" i="2"/>
  <c r="AM7" i="2"/>
  <c r="AN18" i="1"/>
  <c r="AN11" i="1"/>
  <c r="F413" i="13"/>
  <c r="C412" i="13"/>
  <c r="J48" i="1"/>
  <c r="E48" i="1"/>
  <c r="F347" i="13"/>
  <c r="C343" i="13"/>
  <c r="J27" i="2"/>
  <c r="E27" i="2"/>
  <c r="J46" i="11"/>
  <c r="E46" i="11"/>
  <c r="F97" i="13"/>
  <c r="C84" i="13"/>
  <c r="F71" i="13"/>
  <c r="C54" i="13"/>
  <c r="J11" i="4"/>
  <c r="E11" i="4"/>
  <c r="E40" i="9"/>
  <c r="F288" i="13"/>
  <c r="C283" i="13"/>
  <c r="F122" i="13"/>
  <c r="C108" i="13"/>
  <c r="F179" i="13"/>
  <c r="C168" i="13"/>
  <c r="F25" i="13"/>
  <c r="C29" i="13"/>
  <c r="J3" i="14"/>
  <c r="E3" i="14"/>
  <c r="J9" i="14"/>
  <c r="E9" i="14"/>
  <c r="J22" i="10"/>
  <c r="E22" i="10"/>
  <c r="J10" i="10"/>
  <c r="E10" i="10"/>
  <c r="F147" i="13"/>
  <c r="C134" i="13"/>
  <c r="J31" i="14"/>
  <c r="E31" i="14"/>
  <c r="J44" i="5"/>
  <c r="E44" i="5"/>
  <c r="J43" i="11"/>
  <c r="E43" i="11"/>
  <c r="F330" i="13"/>
  <c r="C326" i="13"/>
  <c r="F174" i="13"/>
  <c r="C165" i="13"/>
  <c r="J50" i="4"/>
  <c r="E50" i="4"/>
  <c r="F297" i="13"/>
  <c r="C292" i="13"/>
  <c r="F364" i="13"/>
  <c r="C361" i="13"/>
  <c r="J28" i="2"/>
  <c r="E28" i="2"/>
  <c r="F95" i="13"/>
  <c r="C81" i="13"/>
  <c r="J42" i="1"/>
  <c r="E42" i="1"/>
  <c r="I31" i="13"/>
  <c r="J31" i="13"/>
  <c r="F455" i="13"/>
  <c r="C455" i="13"/>
  <c r="J48" i="9"/>
  <c r="E48" i="9"/>
  <c r="F222" i="13"/>
  <c r="C213" i="13"/>
  <c r="J11" i="6"/>
  <c r="E11" i="6"/>
  <c r="F376" i="13"/>
  <c r="C374" i="13"/>
  <c r="J30" i="2"/>
  <c r="E30" i="2"/>
  <c r="F395" i="13"/>
  <c r="C393" i="13"/>
  <c r="J35" i="2"/>
  <c r="E35" i="2"/>
  <c r="F205" i="13"/>
  <c r="C195" i="13"/>
  <c r="J7" i="14"/>
  <c r="E7" i="14"/>
  <c r="F402" i="13"/>
  <c r="F341" i="13"/>
  <c r="F260" i="13"/>
  <c r="F21" i="13"/>
  <c r="F9" i="13"/>
  <c r="F4" i="13"/>
  <c r="F157" i="13"/>
  <c r="F132" i="13"/>
  <c r="F133" i="13"/>
  <c r="F46" i="13"/>
  <c r="F15" i="13"/>
  <c r="F406" i="13"/>
  <c r="F219" i="13"/>
  <c r="F76" i="13"/>
  <c r="F270" i="13"/>
  <c r="F35" i="13"/>
  <c r="F90" i="13"/>
  <c r="F156" i="13"/>
  <c r="F385" i="13"/>
  <c r="F164" i="13"/>
  <c r="F403" i="13"/>
  <c r="F69" i="13"/>
  <c r="F33" i="13"/>
  <c r="F195" i="13"/>
  <c r="F224" i="13"/>
  <c r="F72" i="13"/>
  <c r="F349" i="13"/>
  <c r="F354" i="13"/>
  <c r="F358" i="13"/>
  <c r="F380" i="13"/>
  <c r="F252" i="13"/>
  <c r="F194" i="13"/>
  <c r="F237" i="13"/>
  <c r="F302" i="13"/>
  <c r="F306" i="13"/>
  <c r="F346" i="13"/>
  <c r="F86" i="13"/>
  <c r="F159" i="13"/>
  <c r="F417" i="13"/>
  <c r="F65" i="13"/>
  <c r="F441" i="13"/>
  <c r="F439" i="13"/>
  <c r="F447" i="13"/>
  <c r="F96" i="13"/>
  <c r="F379" i="13"/>
  <c r="F377" i="13"/>
  <c r="F191" i="13"/>
  <c r="F214" i="13"/>
  <c r="F233" i="13"/>
  <c r="F239" i="13"/>
  <c r="F253" i="13"/>
  <c r="F268" i="13"/>
  <c r="F80" i="13"/>
  <c r="F291" i="13"/>
  <c r="F305" i="13"/>
  <c r="F145" i="13"/>
  <c r="F155" i="13"/>
  <c r="F310" i="13"/>
  <c r="F311" i="13"/>
  <c r="F315" i="13"/>
  <c r="F328" i="13"/>
  <c r="F342" i="13"/>
  <c r="F348" i="13"/>
  <c r="F54" i="13"/>
  <c r="F355" i="13"/>
  <c r="F92" i="13"/>
  <c r="F388" i="13"/>
  <c r="F386" i="13"/>
  <c r="F58" i="13"/>
  <c r="F389" i="13"/>
  <c r="F401" i="13"/>
  <c r="F32" i="13"/>
  <c r="F420" i="13"/>
  <c r="F62" i="13"/>
  <c r="F64" i="13"/>
  <c r="F429" i="13"/>
  <c r="F112" i="13"/>
  <c r="F190" i="13"/>
  <c r="F193" i="13"/>
  <c r="F119" i="13"/>
  <c r="F201" i="13"/>
  <c r="F117" i="13"/>
  <c r="F118" i="13"/>
  <c r="F207" i="13"/>
  <c r="F70" i="13"/>
  <c r="F215" i="13"/>
  <c r="F220" i="13"/>
  <c r="F225" i="13"/>
  <c r="F228" i="13"/>
  <c r="F130" i="13"/>
  <c r="F26" i="13"/>
  <c r="F231" i="13"/>
  <c r="F256" i="13"/>
  <c r="F238" i="13"/>
  <c r="F240" i="13"/>
  <c r="F241" i="13"/>
  <c r="F245" i="13"/>
  <c r="F249" i="13"/>
  <c r="F47" i="13"/>
  <c r="F254" i="13"/>
  <c r="F255" i="13"/>
  <c r="F48" i="13"/>
  <c r="F259" i="13"/>
  <c r="F261" i="13"/>
  <c r="F34" i="13"/>
  <c r="F265" i="13"/>
  <c r="F267" i="13"/>
  <c r="F134" i="13"/>
  <c r="F275" i="13"/>
  <c r="F274" i="13"/>
  <c r="F279" i="13"/>
  <c r="F272" i="13"/>
  <c r="F277" i="13"/>
  <c r="F50" i="13"/>
  <c r="F284" i="13"/>
  <c r="F293" i="13"/>
  <c r="F82" i="13"/>
  <c r="F36" i="13"/>
  <c r="F178" i="13"/>
  <c r="F143" i="13"/>
  <c r="F300" i="13"/>
  <c r="F37" i="13"/>
  <c r="F84" i="13"/>
  <c r="F318" i="13"/>
  <c r="F150" i="13"/>
  <c r="F52" i="13"/>
  <c r="F321" i="13"/>
  <c r="F325" i="13"/>
  <c r="F332" i="13"/>
  <c r="F323" i="13"/>
  <c r="F335" i="13"/>
  <c r="F53" i="13"/>
  <c r="F154" i="13"/>
  <c r="F357" i="13"/>
  <c r="F40" i="13"/>
  <c r="F55" i="13"/>
  <c r="F367" i="13"/>
  <c r="F365" i="13"/>
  <c r="F378" i="13"/>
  <c r="F381" i="13"/>
  <c r="F383" i="13"/>
  <c r="F384" i="13"/>
  <c r="F387" i="13"/>
  <c r="F57" i="13"/>
  <c r="F94" i="13"/>
  <c r="F59" i="13"/>
  <c r="F396" i="13"/>
  <c r="F390" i="13"/>
  <c r="F166" i="13"/>
  <c r="F31" i="13"/>
  <c r="F399" i="13"/>
  <c r="F392" i="13"/>
  <c r="F407" i="13"/>
  <c r="F414" i="13"/>
  <c r="F419" i="13"/>
  <c r="F416" i="13"/>
  <c r="F412" i="13"/>
  <c r="F425" i="13"/>
  <c r="F432" i="13"/>
  <c r="F101" i="13"/>
  <c r="F435" i="13"/>
  <c r="F173" i="13"/>
  <c r="F436" i="13"/>
  <c r="F102" i="13"/>
  <c r="F443" i="13"/>
  <c r="F66" i="13"/>
  <c r="F107" i="13"/>
  <c r="F450" i="13"/>
  <c r="F452" i="13"/>
  <c r="F108" i="13"/>
  <c r="F454" i="13"/>
  <c r="F456" i="13"/>
  <c r="F109" i="13"/>
  <c r="C71" i="13"/>
  <c r="C180" i="13"/>
  <c r="C205" i="13"/>
  <c r="C307" i="13"/>
  <c r="C311" i="13"/>
  <c r="C324" i="13"/>
  <c r="C338" i="13"/>
  <c r="C77" i="13"/>
  <c r="C375" i="13"/>
  <c r="C419" i="13"/>
  <c r="C105" i="13"/>
  <c r="C247" i="13"/>
  <c r="C121" i="13"/>
  <c r="C279" i="13"/>
  <c r="C287" i="13"/>
  <c r="C130" i="13"/>
  <c r="C321" i="13"/>
  <c r="C385" i="13"/>
  <c r="C397" i="13"/>
  <c r="C401" i="13"/>
  <c r="C418" i="13"/>
  <c r="C454" i="13"/>
  <c r="C59" i="13"/>
  <c r="C355" i="13"/>
  <c r="C147" i="13"/>
  <c r="C416" i="13"/>
  <c r="C50" i="13"/>
  <c r="C263" i="13"/>
  <c r="C352" i="13"/>
  <c r="C387" i="13"/>
  <c r="C160" i="13"/>
  <c r="C9" i="13"/>
  <c r="C182" i="13"/>
  <c r="C53" i="13"/>
  <c r="C210" i="13"/>
  <c r="C117" i="13"/>
  <c r="C222" i="13"/>
  <c r="C31" i="13"/>
  <c r="C32" i="13"/>
  <c r="C258" i="13"/>
  <c r="C34" i="13"/>
  <c r="C39" i="13"/>
  <c r="C376" i="13"/>
  <c r="C41" i="13"/>
  <c r="C435" i="13"/>
  <c r="C12" i="13"/>
  <c r="C184" i="13"/>
  <c r="C301" i="13"/>
  <c r="C377" i="13"/>
  <c r="C428" i="13"/>
  <c r="C206" i="13"/>
  <c r="C267" i="13"/>
  <c r="C294" i="13"/>
  <c r="C394" i="13"/>
  <c r="C82" i="13"/>
  <c r="C424" i="13"/>
  <c r="C89" i="13"/>
  <c r="C51" i="13"/>
  <c r="C450" i="13"/>
  <c r="C95" i="13"/>
  <c r="C456" i="13"/>
  <c r="C96" i="13"/>
  <c r="C405" i="13"/>
  <c r="C55" i="13"/>
  <c r="C345" i="13"/>
  <c r="C378" i="13"/>
  <c r="C386" i="13"/>
  <c r="C47" i="13"/>
  <c r="C97" i="13"/>
  <c r="C179" i="13"/>
  <c r="C103" i="13"/>
  <c r="C211" i="13"/>
  <c r="C248" i="13"/>
  <c r="C119" i="13"/>
  <c r="C262" i="13"/>
  <c r="C269" i="13"/>
  <c r="C69" i="13"/>
  <c r="C142" i="13"/>
  <c r="C354" i="13"/>
  <c r="C80" i="13"/>
  <c r="C413" i="13"/>
  <c r="C431" i="13"/>
  <c r="C145" i="13"/>
  <c r="C30" i="13"/>
  <c r="C21" i="13"/>
  <c r="C144" i="13"/>
  <c r="C183" i="13"/>
  <c r="C44" i="13"/>
  <c r="C216" i="13"/>
  <c r="C233" i="13"/>
  <c r="C244" i="13"/>
  <c r="C253" i="13"/>
  <c r="C20" i="13"/>
  <c r="C272" i="13"/>
  <c r="C314" i="13"/>
  <c r="C138" i="13"/>
  <c r="C317" i="13"/>
  <c r="C328" i="13"/>
  <c r="C331" i="13"/>
  <c r="C379" i="13"/>
  <c r="C390" i="13"/>
  <c r="C442" i="13"/>
  <c r="C383" i="13"/>
  <c r="C67" i="13"/>
  <c r="C319" i="13"/>
  <c r="C43" i="13"/>
  <c r="C215" i="13"/>
  <c r="C225" i="13"/>
  <c r="C400" i="13"/>
  <c r="C104" i="13"/>
  <c r="C197" i="13"/>
  <c r="C251" i="13"/>
  <c r="C274" i="13"/>
  <c r="C36" i="13"/>
  <c r="C362" i="13"/>
  <c r="C415" i="13"/>
  <c r="C434" i="13"/>
  <c r="C4" i="13"/>
  <c r="C75" i="13"/>
  <c r="C120" i="13"/>
  <c r="C298" i="13"/>
  <c r="C342" i="13"/>
  <c r="C440" i="13"/>
  <c r="C306" i="13"/>
  <c r="C384" i="13"/>
  <c r="C14" i="13"/>
  <c r="C241" i="13"/>
  <c r="C270" i="13"/>
  <c r="C22" i="13"/>
  <c r="C37" i="13"/>
  <c r="C381" i="13"/>
  <c r="C406" i="13"/>
  <c r="C153" i="13"/>
  <c r="C229" i="13"/>
  <c r="C438" i="13"/>
  <c r="C245" i="13"/>
  <c r="C60" i="13"/>
  <c r="C285" i="13"/>
  <c r="C143" i="13"/>
  <c r="C42" i="13"/>
  <c r="C191" i="13"/>
  <c r="C230" i="13"/>
  <c r="C231" i="13"/>
  <c r="C237" i="13"/>
  <c r="C246" i="13"/>
  <c r="C23" i="13"/>
  <c r="C26" i="13"/>
  <c r="C365" i="13"/>
  <c r="C382" i="13"/>
  <c r="C155" i="13"/>
  <c r="C19" i="13"/>
  <c r="C88" i="13"/>
  <c r="C94" i="13"/>
  <c r="C452" i="13"/>
  <c r="C61" i="13"/>
  <c r="C265" i="13"/>
  <c r="C402" i="13"/>
  <c r="C351" i="13"/>
  <c r="C302" i="13"/>
  <c r="C337" i="13"/>
  <c r="C447" i="13"/>
  <c r="C132" i="13"/>
  <c r="C344" i="13"/>
  <c r="C38" i="13"/>
  <c r="C78" i="13"/>
  <c r="C49" i="13"/>
  <c r="C219" i="13"/>
  <c r="C232" i="13"/>
  <c r="C252" i="13"/>
  <c r="C296" i="13"/>
  <c r="C388" i="13"/>
  <c r="C411" i="13"/>
  <c r="C164" i="13"/>
  <c r="J13" i="9"/>
  <c r="J8" i="9"/>
  <c r="J15" i="9"/>
  <c r="J17" i="9"/>
  <c r="J18" i="9"/>
  <c r="J20" i="9"/>
  <c r="J24" i="9"/>
  <c r="J26" i="9"/>
  <c r="J47" i="9"/>
  <c r="I49" i="9"/>
  <c r="H49" i="9"/>
  <c r="G49" i="9"/>
  <c r="E10" i="9"/>
  <c r="E8" i="9"/>
  <c r="E12" i="9"/>
  <c r="E13" i="9"/>
  <c r="E15" i="9"/>
  <c r="E17" i="9"/>
  <c r="E18" i="9"/>
  <c r="E20" i="9"/>
  <c r="E24" i="9"/>
  <c r="E26" i="9"/>
  <c r="E39" i="9"/>
  <c r="E47" i="9"/>
  <c r="D49" i="9"/>
  <c r="C49" i="9"/>
  <c r="B49" i="9"/>
  <c r="J5" i="4"/>
  <c r="E5" i="4"/>
  <c r="J24" i="6"/>
  <c r="J22" i="6"/>
  <c r="J21" i="6"/>
  <c r="J15" i="6"/>
  <c r="J13" i="6"/>
  <c r="J9" i="6"/>
  <c r="J7" i="6"/>
  <c r="J5" i="6"/>
  <c r="E24" i="6"/>
  <c r="E22" i="6"/>
  <c r="E21" i="6"/>
  <c r="E15" i="6"/>
  <c r="E13" i="6"/>
  <c r="E9" i="6"/>
  <c r="E7" i="6"/>
  <c r="E5" i="6"/>
  <c r="J34" i="2"/>
  <c r="E34" i="2"/>
  <c r="J7" i="10"/>
  <c r="E7" i="10"/>
  <c r="J18" i="10"/>
  <c r="E18" i="10"/>
  <c r="J48" i="2"/>
  <c r="J47" i="2"/>
  <c r="J46" i="2"/>
  <c r="J45" i="2"/>
  <c r="J44" i="2"/>
  <c r="J43" i="2"/>
  <c r="J42" i="2"/>
  <c r="J39" i="2"/>
  <c r="J38" i="2"/>
  <c r="J37" i="2"/>
  <c r="J31" i="2"/>
  <c r="J20" i="2"/>
  <c r="J19" i="2"/>
  <c r="J18" i="2"/>
  <c r="J13" i="2"/>
  <c r="J7" i="2"/>
  <c r="J3" i="2"/>
  <c r="E48" i="2"/>
  <c r="E47" i="2"/>
  <c r="E46" i="2"/>
  <c r="E45" i="2"/>
  <c r="E44" i="2"/>
  <c r="E43" i="2"/>
  <c r="E42" i="2"/>
  <c r="E39" i="2"/>
  <c r="E38" i="2"/>
  <c r="E37" i="2"/>
  <c r="E31" i="2"/>
  <c r="E20" i="2"/>
  <c r="E19" i="2"/>
  <c r="E18" i="2"/>
  <c r="E13" i="2"/>
  <c r="E7" i="2"/>
  <c r="E3" i="2"/>
  <c r="J6" i="4"/>
  <c r="E6" i="4"/>
  <c r="J26" i="4"/>
  <c r="E26" i="4"/>
  <c r="J54" i="1"/>
  <c r="J51" i="1"/>
  <c r="J49" i="1"/>
  <c r="J47" i="1"/>
  <c r="J41" i="1"/>
  <c r="J40" i="1"/>
  <c r="J38" i="1"/>
  <c r="J37" i="1"/>
  <c r="J35" i="1"/>
  <c r="J34" i="1"/>
  <c r="J32" i="1"/>
  <c r="J19" i="1"/>
  <c r="J18" i="1"/>
  <c r="J17" i="1"/>
  <c r="J15" i="1"/>
  <c r="J14" i="1"/>
  <c r="J12" i="1"/>
  <c r="J10" i="1"/>
  <c r="J9" i="1"/>
  <c r="J8" i="1"/>
  <c r="J6" i="1"/>
  <c r="J5" i="1"/>
  <c r="J3" i="1"/>
  <c r="E54" i="1"/>
  <c r="E51" i="1"/>
  <c r="E49" i="1"/>
  <c r="E47" i="1"/>
  <c r="E41" i="1"/>
  <c r="E40" i="1"/>
  <c r="E38" i="1"/>
  <c r="E37" i="1"/>
  <c r="E35" i="1"/>
  <c r="E34" i="1"/>
  <c r="E32" i="1"/>
  <c r="E19" i="1"/>
  <c r="E18" i="1"/>
  <c r="E17" i="1"/>
  <c r="E15" i="1"/>
  <c r="E14" i="1"/>
  <c r="E12" i="1"/>
  <c r="E10" i="1"/>
  <c r="E9" i="1"/>
  <c r="E8" i="1"/>
  <c r="E6" i="1"/>
  <c r="E5" i="1"/>
  <c r="E3" i="1"/>
  <c r="J3" i="3"/>
  <c r="J45" i="10"/>
  <c r="E45" i="10"/>
  <c r="J17" i="10"/>
  <c r="J16" i="10"/>
  <c r="J36" i="10"/>
  <c r="J37" i="10"/>
  <c r="J12" i="10"/>
  <c r="J13" i="10"/>
  <c r="J14" i="10"/>
  <c r="J15" i="10"/>
  <c r="J21" i="10"/>
  <c r="J24" i="10"/>
  <c r="J29" i="10"/>
  <c r="J32" i="10"/>
  <c r="J34" i="10"/>
  <c r="J35" i="10"/>
  <c r="J40" i="10"/>
  <c r="J41" i="10"/>
  <c r="J46" i="10"/>
  <c r="J48" i="10"/>
  <c r="J43" i="10"/>
  <c r="E16" i="10"/>
  <c r="E36" i="10"/>
  <c r="E37" i="10"/>
  <c r="E12" i="10"/>
  <c r="E13" i="10"/>
  <c r="E14" i="10"/>
  <c r="E15" i="10"/>
  <c r="E17" i="10"/>
  <c r="E21" i="10"/>
  <c r="E24" i="10"/>
  <c r="E29" i="10"/>
  <c r="E32" i="10"/>
  <c r="E34" i="10"/>
  <c r="E35" i="10"/>
  <c r="E40" i="10"/>
  <c r="E41" i="10"/>
  <c r="E46" i="10"/>
  <c r="E48" i="10"/>
  <c r="E43" i="10"/>
  <c r="J53" i="14"/>
  <c r="J51" i="14"/>
  <c r="J49" i="14"/>
  <c r="J46" i="14"/>
  <c r="J44" i="14"/>
  <c r="J43" i="14"/>
  <c r="J42" i="14"/>
  <c r="J40" i="14"/>
  <c r="J38" i="14"/>
  <c r="J37" i="14"/>
  <c r="J35" i="14"/>
  <c r="J30" i="14"/>
  <c r="J29" i="14"/>
  <c r="J28" i="14"/>
  <c r="J22" i="14"/>
  <c r="J20" i="14"/>
  <c r="J18" i="14"/>
  <c r="J15" i="14"/>
  <c r="J13" i="14"/>
  <c r="E53" i="14"/>
  <c r="E51" i="14"/>
  <c r="E49" i="14"/>
  <c r="E46" i="14"/>
  <c r="E44" i="14"/>
  <c r="E43" i="14"/>
  <c r="E42" i="14"/>
  <c r="E40" i="14"/>
  <c r="E38" i="14"/>
  <c r="E37" i="14"/>
  <c r="E35" i="14"/>
  <c r="E30" i="14"/>
  <c r="E29" i="14"/>
  <c r="E28" i="14"/>
  <c r="E22" i="14"/>
  <c r="E20" i="14"/>
  <c r="E18" i="14"/>
  <c r="E15" i="14"/>
  <c r="E13" i="14"/>
  <c r="I11" i="13"/>
  <c r="J11" i="13"/>
  <c r="J24" i="11"/>
  <c r="E24" i="11"/>
  <c r="AQ6" i="10"/>
  <c r="AQ24" i="3"/>
  <c r="AZ24" i="3"/>
  <c r="AW24" i="3"/>
  <c r="AT24" i="3"/>
  <c r="AM34" i="14"/>
  <c r="AP8" i="14"/>
  <c r="AP16" i="4"/>
  <c r="J41" i="4"/>
  <c r="E41" i="4"/>
  <c r="J13" i="4"/>
  <c r="E13" i="4"/>
  <c r="AN25" i="11"/>
  <c r="J44" i="11"/>
  <c r="E44" i="11"/>
  <c r="J35" i="11"/>
  <c r="E35" i="11"/>
  <c r="J29" i="11"/>
  <c r="E29" i="11"/>
  <c r="J15" i="11"/>
  <c r="E15" i="11"/>
  <c r="J8" i="11"/>
  <c r="E8" i="11"/>
  <c r="J7" i="11"/>
  <c r="E7" i="11"/>
  <c r="J49" i="11"/>
  <c r="J48" i="11"/>
  <c r="J45" i="11"/>
  <c r="J42" i="11"/>
  <c r="J41" i="11"/>
  <c r="J38" i="11"/>
  <c r="J37" i="11"/>
  <c r="J28" i="11"/>
  <c r="J27" i="11"/>
  <c r="J23" i="11"/>
  <c r="J20" i="11"/>
  <c r="J19" i="11"/>
  <c r="J14" i="11"/>
  <c r="J13" i="11"/>
  <c r="J9" i="11"/>
  <c r="J6" i="11"/>
  <c r="J5" i="11"/>
  <c r="E49" i="11"/>
  <c r="E48" i="11"/>
  <c r="E45" i="11"/>
  <c r="E42" i="11"/>
  <c r="E41" i="11"/>
  <c r="E38" i="11"/>
  <c r="E37" i="11"/>
  <c r="E28" i="11"/>
  <c r="E27" i="11"/>
  <c r="E23" i="11"/>
  <c r="E20" i="11"/>
  <c r="E19" i="11"/>
  <c r="E14" i="11"/>
  <c r="E13" i="11"/>
  <c r="E9" i="11"/>
  <c r="E6" i="11"/>
  <c r="E5" i="11"/>
  <c r="J38" i="5"/>
  <c r="E38" i="5"/>
  <c r="J17" i="5"/>
  <c r="E17" i="5"/>
  <c r="D52" i="5"/>
  <c r="I52" i="5"/>
  <c r="G52" i="5"/>
  <c r="H52" i="5"/>
  <c r="J50" i="5"/>
  <c r="J48" i="5"/>
  <c r="J46" i="5"/>
  <c r="J39" i="5"/>
  <c r="J37" i="5"/>
  <c r="J35" i="5"/>
  <c r="J33" i="5"/>
  <c r="J32" i="5"/>
  <c r="J31" i="5"/>
  <c r="J29" i="5"/>
  <c r="J25" i="5"/>
  <c r="J22" i="5"/>
  <c r="J20" i="5"/>
  <c r="J16" i="5"/>
  <c r="J15" i="5"/>
  <c r="J12" i="5"/>
  <c r="J9" i="5"/>
  <c r="J8" i="5"/>
  <c r="J3" i="5"/>
  <c r="B52" i="5"/>
  <c r="C52" i="5"/>
  <c r="E50" i="5"/>
  <c r="E48" i="5"/>
  <c r="E46" i="5"/>
  <c r="E39" i="5"/>
  <c r="E37" i="5"/>
  <c r="E35" i="5"/>
  <c r="E33" i="5"/>
  <c r="E32" i="5"/>
  <c r="E31" i="5"/>
  <c r="E29" i="5"/>
  <c r="E25" i="5"/>
  <c r="E22" i="5"/>
  <c r="E20" i="5"/>
  <c r="E16" i="5"/>
  <c r="E15" i="5"/>
  <c r="E12" i="5"/>
  <c r="E9" i="5"/>
  <c r="E8" i="5"/>
  <c r="E3" i="5"/>
  <c r="AY25" i="2"/>
  <c r="AS8" i="14"/>
  <c r="AS34" i="14"/>
  <c r="AP34" i="14"/>
  <c r="BB8" i="14"/>
  <c r="AY8" i="14"/>
  <c r="AV8" i="14"/>
  <c r="AQ35" i="1"/>
  <c r="BF11" i="1"/>
  <c r="BC11" i="1"/>
  <c r="AZ11" i="1"/>
  <c r="AW11" i="1"/>
  <c r="AT11" i="1"/>
  <c r="AQ11" i="1"/>
  <c r="J20" i="4"/>
  <c r="E20" i="4"/>
  <c r="J16" i="4"/>
  <c r="E16" i="4"/>
  <c r="J27" i="4"/>
  <c r="E27" i="4"/>
  <c r="I53" i="4"/>
  <c r="J52" i="4"/>
  <c r="J44" i="4"/>
  <c r="J38" i="4"/>
  <c r="J36" i="4"/>
  <c r="J33" i="4"/>
  <c r="J32" i="4"/>
  <c r="J31" i="4"/>
  <c r="J29" i="4"/>
  <c r="J22" i="4"/>
  <c r="J19" i="4"/>
  <c r="J17" i="4"/>
  <c r="J15" i="4"/>
  <c r="J10" i="4"/>
  <c r="D53" i="4"/>
  <c r="E52" i="4"/>
  <c r="E44" i="4"/>
  <c r="E38" i="4"/>
  <c r="E36" i="4"/>
  <c r="E33" i="4"/>
  <c r="E32" i="4"/>
  <c r="E31" i="4"/>
  <c r="E29" i="4"/>
  <c r="E22" i="4"/>
  <c r="E19" i="4"/>
  <c r="E17" i="4"/>
  <c r="E15" i="4"/>
  <c r="E10" i="4"/>
  <c r="AT13" i="11"/>
  <c r="AS17" i="2"/>
  <c r="AS9" i="2"/>
  <c r="AT18" i="1"/>
  <c r="J19" i="13"/>
  <c r="I19" i="13"/>
  <c r="AT35" i="1"/>
  <c r="AV17" i="2"/>
  <c r="AV9" i="2"/>
  <c r="B53" i="4"/>
  <c r="G53" i="4"/>
  <c r="H53" i="4"/>
  <c r="BC15" i="3"/>
  <c r="AV37" i="2"/>
  <c r="C53" i="4"/>
  <c r="BB17" i="2"/>
  <c r="AY9" i="2"/>
  <c r="BB9" i="2"/>
  <c r="BE9" i="2"/>
  <c r="K20" i="13" l="1"/>
  <c r="K19" i="13"/>
  <c r="K11" i="13"/>
  <c r="E49" i="10"/>
  <c r="J49" i="10"/>
  <c r="E50" i="11"/>
  <c r="J50" i="11"/>
  <c r="J58" i="6"/>
  <c r="E58" i="6"/>
  <c r="E49" i="2"/>
  <c r="J49" i="2"/>
  <c r="E53" i="3"/>
  <c r="J53" i="3"/>
  <c r="E55" i="14"/>
  <c r="J55" i="14"/>
  <c r="E55" i="1"/>
  <c r="J55" i="1"/>
  <c r="E52" i="5"/>
  <c r="J52" i="5"/>
  <c r="J49" i="9"/>
  <c r="E49" i="9"/>
  <c r="J53" i="4"/>
  <c r="E53" i="4"/>
  <c r="C457" i="13"/>
  <c r="F457" i="13"/>
</calcChain>
</file>

<file path=xl/sharedStrings.xml><?xml version="1.0" encoding="utf-8"?>
<sst xmlns="http://schemas.openxmlformats.org/spreadsheetml/2006/main" count="14047" uniqueCount="1103">
  <si>
    <t>TRIES</t>
  </si>
  <si>
    <t>Tot</t>
  </si>
  <si>
    <t>POINTS</t>
  </si>
  <si>
    <t>TOTALS</t>
  </si>
  <si>
    <t>Penalty Tries</t>
  </si>
  <si>
    <t>Williams</t>
  </si>
  <si>
    <t>Joseph</t>
  </si>
  <si>
    <t>Brown</t>
  </si>
  <si>
    <t>Most Points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</si>
  <si>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</si>
  <si>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</si>
  <si>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</si>
  <si>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</si>
  <si>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</si>
  <si>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</si>
  <si>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</si>
  <si>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</si>
  <si>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</si>
  <si>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na</t>
  </si>
  <si>
    <t>n/a</t>
  </si>
  <si>
    <t>Walker</t>
  </si>
  <si>
    <t xml:space="preserve"> </t>
  </si>
  <si>
    <t>Smith</t>
  </si>
  <si>
    <t>Woodburn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</si>
  <si>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</si>
  <si>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</si>
  <si>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</si>
  <si>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</si>
  <si>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</si>
  <si>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</si>
  <si>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</si>
  <si>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</si>
  <si>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</si>
  <si>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</si>
  <si>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© Hillsport Media Ltd</t>
  </si>
  <si>
    <t>Top Strike Rates*</t>
  </si>
  <si>
    <t>Ewels</t>
  </si>
  <si>
    <t>2013/14</t>
  </si>
  <si>
    <t>Last Match             (all comps)</t>
  </si>
  <si>
    <t>Woolmore</t>
  </si>
  <si>
    <t>Last Match             (All Comps)</t>
  </si>
  <si>
    <t xml:space="preserve">2013/14 </t>
  </si>
  <si>
    <t xml:space="preserve">2012/13 </t>
  </si>
  <si>
    <t>Hutchinson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</si>
  <si>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</si>
  <si>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</si>
  <si>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</si>
  <si>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</si>
  <si>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</si>
  <si>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</si>
  <si>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</si>
  <si>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</si>
  <si>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</si>
  <si>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</si>
  <si>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</si>
  <si>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</si>
  <si>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</si>
  <si>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</si>
  <si>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</si>
  <si>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</si>
  <si>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</si>
  <si>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</si>
  <si>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</si>
  <si>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</si>
  <si>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</si>
  <si>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Cokanasiga</t>
  </si>
  <si>
    <t>Obano</t>
  </si>
  <si>
    <t>Underhill</t>
  </si>
  <si>
    <t>Stuart</t>
  </si>
  <si>
    <t>Furbank</t>
  </si>
  <si>
    <t>Lawrence</t>
  </si>
  <si>
    <t>Mitchell</t>
  </si>
  <si>
    <t xml:space="preserve">James L </t>
  </si>
  <si>
    <t>Reffell</t>
  </si>
  <si>
    <t>Simmons</t>
  </si>
  <si>
    <t>Reed</t>
  </si>
  <si>
    <t>Redpath</t>
  </si>
  <si>
    <t>Bayliss</t>
  </si>
  <si>
    <t>Vaughan</t>
  </si>
  <si>
    <t>2016/17</t>
  </si>
  <si>
    <t>GLO</t>
  </si>
  <si>
    <t>SAL</t>
  </si>
  <si>
    <t>BTH</t>
  </si>
  <si>
    <t>NOR</t>
  </si>
  <si>
    <t xml:space="preserve">Penalty Tries </t>
  </si>
  <si>
    <t xml:space="preserve">Chisholm J </t>
  </si>
  <si>
    <t xml:space="preserve">Youngs B </t>
  </si>
  <si>
    <t xml:space="preserve">Curry B </t>
  </si>
  <si>
    <t xml:space="preserve">Curry T </t>
  </si>
  <si>
    <t>HAR</t>
  </si>
  <si>
    <t>EXE</t>
  </si>
  <si>
    <t xml:space="preserve">Harrison R </t>
  </si>
  <si>
    <t>BRI</t>
  </si>
  <si>
    <t>Luatua</t>
  </si>
  <si>
    <t>Randall</t>
  </si>
  <si>
    <t>Thacker</t>
  </si>
  <si>
    <t>Thomas Y</t>
  </si>
  <si>
    <t>Last Match            (All Comps)</t>
  </si>
  <si>
    <t>Dombrandt</t>
  </si>
  <si>
    <t>Curtis</t>
  </si>
  <si>
    <t>Spencer B</t>
  </si>
  <si>
    <t>Stuart W</t>
  </si>
  <si>
    <t>Taylor T</t>
  </si>
  <si>
    <t>Annett N</t>
  </si>
  <si>
    <t>Bayliss J</t>
  </si>
  <si>
    <t>Beaumont J</t>
  </si>
  <si>
    <t>Brown M</t>
  </si>
  <si>
    <t>Clarke F</t>
  </si>
  <si>
    <t>Cokanasiga J</t>
  </si>
  <si>
    <t>Dombrandt A</t>
  </si>
  <si>
    <t>Dunn T</t>
  </si>
  <si>
    <t>Earl B</t>
  </si>
  <si>
    <t>Ewels C</t>
  </si>
  <si>
    <t>Ford-Robinson J</t>
  </si>
  <si>
    <t>Furbank G</t>
  </si>
  <si>
    <t>Genge E</t>
  </si>
  <si>
    <t>Haining N</t>
  </si>
  <si>
    <t>Hutchinson R</t>
  </si>
  <si>
    <t>Innard J</t>
  </si>
  <si>
    <t>Kerrod S</t>
  </si>
  <si>
    <t>Lamb D</t>
  </si>
  <si>
    <t>Lawday T</t>
  </si>
  <si>
    <t>Lawrence O</t>
  </si>
  <si>
    <t>Luatua S</t>
  </si>
  <si>
    <t>Ludlow L</t>
  </si>
  <si>
    <t>MacGinty A</t>
  </si>
  <si>
    <t>Mitchell A</t>
  </si>
  <si>
    <t>Obano B</t>
  </si>
  <si>
    <t>O'Flaherty T</t>
  </si>
  <si>
    <t>Randall H</t>
  </si>
  <si>
    <t>Rapava Ruskin V</t>
  </si>
  <si>
    <t>Redpath C</t>
  </si>
  <si>
    <t>Reed A</t>
  </si>
  <si>
    <t>Seabrook T</t>
  </si>
  <si>
    <t>Simmons H</t>
  </si>
  <si>
    <t>Slade H</t>
  </si>
  <si>
    <t>Thorley O</t>
  </si>
  <si>
    <t>Townsend S</t>
  </si>
  <si>
    <t>Underhill S</t>
  </si>
  <si>
    <t>van Wyk F</t>
  </si>
  <si>
    <t>Vaughan W</t>
  </si>
  <si>
    <t>Woodburn O</t>
  </si>
  <si>
    <t>Woolmore J</t>
  </si>
  <si>
    <t>Yeandle J</t>
  </si>
  <si>
    <t>Smith M</t>
  </si>
  <si>
    <t>^regular season</t>
  </si>
  <si>
    <t>2013/14           (European Cup)</t>
  </si>
  <si>
    <t>Hill T</t>
  </si>
  <si>
    <t>Painter</t>
  </si>
  <si>
    <t>Painter E</t>
  </si>
  <si>
    <t>Wells</t>
  </si>
  <si>
    <t>Wells H</t>
  </si>
  <si>
    <t>Chapman</t>
  </si>
  <si>
    <t>Chapman C</t>
  </si>
  <si>
    <t>Skinner H</t>
  </si>
  <si>
    <t>Bedlow S</t>
  </si>
  <si>
    <t>Reffell T</t>
  </si>
  <si>
    <t>du Preez R</t>
  </si>
  <si>
    <t>Capstick</t>
  </si>
  <si>
    <t>Capstick R</t>
  </si>
  <si>
    <t>Keast B</t>
  </si>
  <si>
    <t>Dingwall</t>
  </si>
  <si>
    <t>Dingwall F</t>
  </si>
  <si>
    <t>Sleightholme O</t>
  </si>
  <si>
    <t>du Preez J-L</t>
  </si>
  <si>
    <t>Murley</t>
  </si>
  <si>
    <t>Murley C</t>
  </si>
  <si>
    <t>Coles</t>
  </si>
  <si>
    <t>Coles A</t>
  </si>
  <si>
    <t>David</t>
  </si>
  <si>
    <t>David N</t>
  </si>
  <si>
    <t>Top Try Scorer^</t>
  </si>
  <si>
    <t>2017/18</t>
  </si>
  <si>
    <t>2013/14  (European Cup)</t>
  </si>
  <si>
    <t>Jackson</t>
  </si>
  <si>
    <t>Barton</t>
  </si>
  <si>
    <t>Wyatt</t>
  </si>
  <si>
    <t>Barton G</t>
  </si>
  <si>
    <t xml:space="preserve">Barton G </t>
  </si>
  <si>
    <t>Wyatt T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</si>
  <si>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</si>
  <si>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</si>
  <si>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</si>
  <si>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</si>
  <si>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</si>
  <si>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</si>
  <si>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</si>
  <si>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</si>
  <si>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</si>
  <si>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</si>
  <si>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</si>
  <si>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</si>
  <si>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</si>
  <si>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</si>
  <si>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</si>
  <si>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</si>
  <si>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</si>
  <si>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Heward</t>
  </si>
  <si>
    <t>Simpson G</t>
  </si>
  <si>
    <t>Ford</t>
  </si>
  <si>
    <t>Steward</t>
  </si>
  <si>
    <t>Steward F</t>
  </si>
  <si>
    <t>Harris C</t>
  </si>
  <si>
    <t>Lewies</t>
  </si>
  <si>
    <t>Lewies S</t>
  </si>
  <si>
    <t>Northmore</t>
  </si>
  <si>
    <t>Northmore L</t>
  </si>
  <si>
    <t>Tuisue A</t>
  </si>
  <si>
    <t>Lawday</t>
  </si>
  <si>
    <t>Varney S</t>
  </si>
  <si>
    <t>de Glanville</t>
  </si>
  <si>
    <t>de Glanville T</t>
  </si>
  <si>
    <t>*Spencer</t>
  </si>
  <si>
    <t>Henderson</t>
  </si>
  <si>
    <t>Henderson C</t>
  </si>
  <si>
    <t>Liebenberg</t>
  </si>
  <si>
    <t>Liebenberg H</t>
  </si>
  <si>
    <t>Stanley</t>
  </si>
  <si>
    <t>Stanley J</t>
  </si>
  <si>
    <t>Hodge</t>
  </si>
  <si>
    <t>Hodge J</t>
  </si>
  <si>
    <t>Alemanno</t>
  </si>
  <si>
    <t>Byrne</t>
  </si>
  <si>
    <t>Byrne B</t>
  </si>
  <si>
    <t>Scott</t>
  </si>
  <si>
    <t>Alemanno M</t>
  </si>
  <si>
    <t>GP</t>
  </si>
  <si>
    <t>2018/19</t>
  </si>
  <si>
    <t xml:space="preserve">2018/19 </t>
  </si>
  <si>
    <t>Fox</t>
  </si>
  <si>
    <t>Fox O</t>
  </si>
  <si>
    <t>Reid M</t>
  </si>
  <si>
    <t>Muir</t>
  </si>
  <si>
    <t>Muir W</t>
  </si>
  <si>
    <t>Last Season</t>
  </si>
  <si>
    <t>Lahiff</t>
  </si>
  <si>
    <t>Lahiff M</t>
  </si>
  <si>
    <t>Naulago S</t>
  </si>
  <si>
    <t>Innard</t>
  </si>
  <si>
    <t xml:space="preserve">Last Season </t>
  </si>
  <si>
    <t>Ford-Robinson</t>
  </si>
  <si>
    <t>Els</t>
  </si>
  <si>
    <t>Els J</t>
  </si>
  <si>
    <t>Kerrod</t>
  </si>
  <si>
    <t>White A</t>
  </si>
  <si>
    <t>Heyes</t>
  </si>
  <si>
    <t>Heyes J</t>
  </si>
  <si>
    <t>NEW</t>
  </si>
  <si>
    <t>Blamire</t>
  </si>
  <si>
    <t>Blamire J</t>
  </si>
  <si>
    <t>Brocklebank</t>
  </si>
  <si>
    <t>Brocklebank A</t>
  </si>
  <si>
    <t>Chick C</t>
  </si>
  <si>
    <t>Cooper</t>
  </si>
  <si>
    <t>McGuigan G</t>
  </si>
  <si>
    <t>Connon</t>
  </si>
  <si>
    <t>Radwan</t>
  </si>
  <si>
    <t>Stuart S</t>
  </si>
  <si>
    <t>van der Walt</t>
  </si>
  <si>
    <t>van der Walt P</t>
  </si>
  <si>
    <t>Connon B</t>
  </si>
  <si>
    <t>Radwan A</t>
  </si>
  <si>
    <t>Porter</t>
  </si>
  <si>
    <t>Stevenson B</t>
  </si>
  <si>
    <t>Clare</t>
  </si>
  <si>
    <t>Clare C</t>
  </si>
  <si>
    <t>Graham</t>
  </si>
  <si>
    <t>Isiekwe</t>
  </si>
  <si>
    <t>Isiekwe N</t>
  </si>
  <si>
    <t>Singleton J</t>
  </si>
  <si>
    <t>Atkinson C</t>
  </si>
  <si>
    <t>James</t>
  </si>
  <si>
    <t>James T</t>
  </si>
  <si>
    <t>Kelly</t>
  </si>
  <si>
    <t>Kelly D</t>
  </si>
  <si>
    <t>Kloska</t>
  </si>
  <si>
    <t>Kloska G</t>
  </si>
  <si>
    <t>Evans W</t>
  </si>
  <si>
    <t>Montoya J</t>
  </si>
  <si>
    <t>Carreras</t>
  </si>
  <si>
    <t>Carreras S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</si>
  <si>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</si>
  <si>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</si>
  <si>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</si>
  <si>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</si>
  <si>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</si>
  <si>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</si>
  <si>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</si>
  <si>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</si>
  <si>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</si>
  <si>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</si>
  <si>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Davison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</si>
  <si>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</si>
  <si>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</si>
  <si>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</si>
  <si>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</si>
  <si>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</si>
  <si>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</si>
  <si>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</si>
  <si>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</si>
  <si>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</si>
  <si>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</si>
  <si>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Kenningham</t>
  </si>
  <si>
    <t>Kenningham J</t>
  </si>
  <si>
    <t>Segun</t>
  </si>
  <si>
    <t>George</t>
  </si>
  <si>
    <t>Itoje</t>
  </si>
  <si>
    <t>Whiteley</t>
  </si>
  <si>
    <t>Tompkins</t>
  </si>
  <si>
    <t>Mawi</t>
  </si>
  <si>
    <t>Daly</t>
  </si>
  <si>
    <t>Butt</t>
  </si>
  <si>
    <t>Butt W</t>
  </si>
  <si>
    <t>2019/20</t>
  </si>
  <si>
    <t>*Redpath</t>
  </si>
  <si>
    <t>Whiteley T</t>
  </si>
  <si>
    <t>van Zyl</t>
  </si>
  <si>
    <t>Riccioni</t>
  </si>
  <si>
    <t>McFarland</t>
  </si>
  <si>
    <t>Clarey</t>
  </si>
  <si>
    <t>Lozowski</t>
  </si>
  <si>
    <t>Earl</t>
  </si>
  <si>
    <t>SAR</t>
  </si>
  <si>
    <t>Clarey A</t>
  </si>
  <si>
    <t>Daly E</t>
  </si>
  <si>
    <t>George J</t>
  </si>
  <si>
    <t>Goode A</t>
  </si>
  <si>
    <t>Hunter-Hill C</t>
  </si>
  <si>
    <t>Itoje M</t>
  </si>
  <si>
    <t>Lozowski A</t>
  </si>
  <si>
    <t>Mawi E</t>
  </si>
  <si>
    <t>McFarland T</t>
  </si>
  <si>
    <t>Obatoyinbo E</t>
  </si>
  <si>
    <t>Pifeleti K</t>
  </si>
  <si>
    <t>Riccioni M</t>
  </si>
  <si>
    <t>Segun R</t>
  </si>
  <si>
    <t>Tompkins N</t>
  </si>
  <si>
    <t>van Zyl I</t>
  </si>
  <si>
    <t>*Daly</t>
  </si>
  <si>
    <t>PC</t>
  </si>
  <si>
    <t>Iosefa-Scott</t>
  </si>
  <si>
    <t>Iosefa-Scott J</t>
  </si>
  <si>
    <t>Hurd</t>
  </si>
  <si>
    <t>Hurd W</t>
  </si>
  <si>
    <t>Smith T</t>
  </si>
  <si>
    <t>Whitcombe J</t>
  </si>
  <si>
    <t>Clement</t>
  </si>
  <si>
    <t>Clement J</t>
  </si>
  <si>
    <t>Ojomoh</t>
  </si>
  <si>
    <t>Tuima</t>
  </si>
  <si>
    <t>Tuima R</t>
  </si>
  <si>
    <t>Thomas</t>
  </si>
  <si>
    <t>Frost D</t>
  </si>
  <si>
    <t>Ojomoh M</t>
  </si>
  <si>
    <t>Warr</t>
  </si>
  <si>
    <t>Warr G</t>
  </si>
  <si>
    <t>Davidson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</si>
  <si>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</si>
  <si>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</si>
  <si>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</si>
  <si>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</si>
  <si>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</si>
  <si>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</si>
  <si>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</si>
  <si>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</si>
  <si>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</si>
  <si>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</si>
  <si>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Birch</t>
  </si>
  <si>
    <t>Birch R</t>
  </si>
  <si>
    <t>Taylor H</t>
  </si>
  <si>
    <t>Reeves J</t>
  </si>
  <si>
    <t>Beard</t>
  </si>
  <si>
    <t>Beard O</t>
  </si>
  <si>
    <t>Augustus J</t>
  </si>
  <si>
    <t>Jordan</t>
  </si>
  <si>
    <t>Jordan C</t>
  </si>
  <si>
    <t>Cracknell</t>
  </si>
  <si>
    <t>Cracknell O</t>
  </si>
  <si>
    <t>Blake</t>
  </si>
  <si>
    <t>Blake S</t>
  </si>
  <si>
    <t>Hammond G</t>
  </si>
  <si>
    <t>Pearson</t>
  </si>
  <si>
    <t>Pearson L</t>
  </si>
  <si>
    <t>Atkinson S</t>
  </si>
  <si>
    <t>Richards</t>
  </si>
  <si>
    <t>Richards E</t>
  </si>
  <si>
    <t>Norey</t>
  </si>
  <si>
    <t>Norey M</t>
  </si>
  <si>
    <t>Hillman-Cooper L</t>
  </si>
  <si>
    <t>Walker J</t>
  </si>
  <si>
    <t>Lane</t>
  </si>
  <si>
    <t>Lane R</t>
  </si>
  <si>
    <t>Gjaltema L</t>
  </si>
  <si>
    <t>Smith R</t>
  </si>
  <si>
    <t>Vanes A</t>
  </si>
  <si>
    <t>Carr</t>
  </si>
  <si>
    <t>Jackson B</t>
  </si>
  <si>
    <t>Carpenter</t>
  </si>
  <si>
    <t>Harper</t>
  </si>
  <si>
    <t>Carpenter J</t>
  </si>
  <si>
    <t>Harper J</t>
  </si>
  <si>
    <t>Cleaves</t>
  </si>
  <si>
    <t>Cleaves C</t>
  </si>
  <si>
    <t>Thomas F</t>
  </si>
  <si>
    <t>Tiffen</t>
  </si>
  <si>
    <t>Tiffen M</t>
  </si>
  <si>
    <t>Maunder S</t>
  </si>
  <si>
    <t>2020/21</t>
  </si>
  <si>
    <t>2020/21 (CH)</t>
  </si>
  <si>
    <t>Kata</t>
  </si>
  <si>
    <t>Kata S</t>
  </si>
  <si>
    <t>Head G</t>
  </si>
  <si>
    <t>McGinty A</t>
  </si>
  <si>
    <t>Anyanwu L</t>
  </si>
  <si>
    <t>Green J</t>
  </si>
  <si>
    <t>Riley</t>
  </si>
  <si>
    <t>Riley S</t>
  </si>
  <si>
    <t>Hallett J</t>
  </si>
  <si>
    <t>Tshiunza</t>
  </si>
  <si>
    <t>Tshiunza C</t>
  </si>
  <si>
    <t>Chessum L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</si>
  <si>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</si>
  <si>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</si>
  <si>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</si>
  <si>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</si>
  <si>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</si>
  <si>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</si>
  <si>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</si>
  <si>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</si>
  <si>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</si>
  <si>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</si>
  <si>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</si>
  <si>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</si>
  <si>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</si>
  <si>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</si>
  <si>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</si>
  <si>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</si>
  <si>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*MacGinty</t>
  </si>
  <si>
    <t>Musk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</si>
  <si>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</si>
  <si>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</si>
  <si>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</si>
  <si>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</si>
  <si>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</si>
  <si>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</si>
  <si>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</si>
  <si>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</si>
  <si>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Pollock</t>
  </si>
  <si>
    <t>Pollock H</t>
  </si>
  <si>
    <t>Davies H</t>
  </si>
  <si>
    <t>Elliott</t>
  </si>
  <si>
    <t>Elliott T</t>
  </si>
  <si>
    <t>Lockett</t>
  </si>
  <si>
    <t>Lockett T</t>
  </si>
  <si>
    <t>Manz J</t>
  </si>
  <si>
    <t>Bailey D</t>
  </si>
  <si>
    <t>Caine</t>
  </si>
  <si>
    <t>Pepper G</t>
  </si>
  <si>
    <t>Sio</t>
  </si>
  <si>
    <t>Sio S</t>
  </si>
  <si>
    <t>van Wyk</t>
  </si>
  <si>
    <t>Jenkins I</t>
  </si>
  <si>
    <t>Jenkins D</t>
  </si>
  <si>
    <t>Carr-Smith</t>
  </si>
  <si>
    <t>Carr-Smith T</t>
  </si>
  <si>
    <t>Harris S</t>
  </si>
  <si>
    <t>Anderson</t>
  </si>
  <si>
    <t>Anderson C</t>
  </si>
  <si>
    <t>Knight</t>
  </si>
  <si>
    <t>Ibitoye</t>
  </si>
  <si>
    <t>Ibitoye G</t>
  </si>
  <si>
    <t>Feyi-Waboso</t>
  </si>
  <si>
    <t>Feyi-Waboso I</t>
  </si>
  <si>
    <t>Fletcher</t>
  </si>
  <si>
    <t>Fletcher O</t>
  </si>
  <si>
    <t>Jenkins J</t>
  </si>
  <si>
    <t>McIntyre</t>
  </si>
  <si>
    <t>McIntyre S</t>
  </si>
  <si>
    <t>Pollard H</t>
  </si>
  <si>
    <t>Skinner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</si>
  <si>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</si>
  <si>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</si>
  <si>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</si>
  <si>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</si>
  <si>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</si>
  <si>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</si>
  <si>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</si>
  <si>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Cairns</t>
  </si>
  <si>
    <t>Cairns T</t>
  </si>
  <si>
    <t>Baxter</t>
  </si>
  <si>
    <t>Baxter F</t>
  </si>
  <si>
    <t>Lockwood</t>
  </si>
  <si>
    <t>Lockwood F</t>
  </si>
  <si>
    <t>Rubiolo</t>
  </si>
  <si>
    <t>2021/22</t>
  </si>
  <si>
    <t>Hennessey</t>
  </si>
  <si>
    <t>Marmion</t>
  </si>
  <si>
    <t>Owen</t>
  </si>
  <si>
    <t>Fisilau</t>
  </si>
  <si>
    <t>Hammersley</t>
  </si>
  <si>
    <t>Haydon-Wood</t>
  </si>
  <si>
    <t>Vintcent</t>
  </si>
  <si>
    <t xml:space="preserve">Ordered </t>
  </si>
  <si>
    <t>Hathaway</t>
  </si>
  <si>
    <t>Browne</t>
  </si>
  <si>
    <t>Trenholm</t>
  </si>
  <si>
    <t>Hassell-Collins</t>
  </si>
  <si>
    <t>Hatherell</t>
  </si>
  <si>
    <t>de Chaves</t>
  </si>
  <si>
    <t>McDonald</t>
  </si>
  <si>
    <t>Pepper M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</si>
  <si>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</si>
  <si>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</si>
  <si>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</si>
  <si>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</si>
  <si>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</si>
  <si>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</si>
  <si>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</si>
  <si>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</si>
  <si>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Willis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</si>
  <si>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</si>
  <si>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</si>
  <si>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</si>
  <si>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</si>
  <si>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</si>
  <si>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</si>
  <si>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</si>
  <si>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</si>
  <si>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</si>
  <si>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</si>
  <si>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</si>
  <si>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</si>
  <si>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</si>
  <si>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</si>
  <si>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de Chaves S</t>
  </si>
  <si>
    <t>Willis T</t>
  </si>
  <si>
    <t>du Toit T</t>
  </si>
  <si>
    <t>Roots E</t>
  </si>
  <si>
    <t>Vintcent R</t>
  </si>
  <si>
    <t>Porter W</t>
  </si>
  <si>
    <t>Gonzalez</t>
  </si>
  <si>
    <t>Gonzalez J M</t>
  </si>
  <si>
    <t>Malins M</t>
  </si>
  <si>
    <t>Brown L</t>
  </si>
  <si>
    <t>LEI</t>
  </si>
  <si>
    <t>Sleightholme</t>
  </si>
  <si>
    <t>Chisholm</t>
  </si>
  <si>
    <t>Oghre</t>
  </si>
  <si>
    <t>Oghre G</t>
  </si>
  <si>
    <t>Coetzee</t>
  </si>
  <si>
    <t>Coetzee J</t>
  </si>
  <si>
    <t>Dun</t>
  </si>
  <si>
    <t>Dun J</t>
  </si>
  <si>
    <t>Doherty</t>
  </si>
  <si>
    <t>Cinti</t>
  </si>
  <si>
    <t>Cinti L</t>
  </si>
  <si>
    <t>Cowan-Dickie L</t>
  </si>
  <si>
    <t>Dunne J</t>
  </si>
  <si>
    <t>*Atkinson C</t>
  </si>
  <si>
    <t>Schreuder L</t>
  </si>
  <si>
    <t>Wimbush</t>
  </si>
  <si>
    <t>Wimbush Z</t>
  </si>
  <si>
    <t>Lewis D</t>
  </si>
  <si>
    <t>Bello</t>
  </si>
  <si>
    <t xml:space="preserve">Bello </t>
  </si>
  <si>
    <t>Bello E</t>
  </si>
  <si>
    <t>McCallum</t>
  </si>
  <si>
    <t>McCallum M</t>
  </si>
  <si>
    <t>Mercer Z</t>
  </si>
  <si>
    <t>Redshaw B</t>
  </si>
  <si>
    <t>O'Sullivan</t>
  </si>
  <si>
    <t>O'Sullivan H</t>
  </si>
  <si>
    <t>Savala C</t>
  </si>
  <si>
    <t>*Savala</t>
  </si>
  <si>
    <t>Janse v Rensburg</t>
  </si>
  <si>
    <t>Janse van Rensburg B</t>
  </si>
  <si>
    <t>Janse v Rensburg B</t>
  </si>
  <si>
    <t>Hadfield</t>
  </si>
  <si>
    <t>Hadfield J</t>
  </si>
  <si>
    <t>Llewellyn</t>
  </si>
  <si>
    <t>Llewellyn M</t>
  </si>
  <si>
    <t>Theobold-Thomas</t>
  </si>
  <si>
    <t>Theobald-Thomas F</t>
  </si>
  <si>
    <t>Garside J</t>
  </si>
  <si>
    <t>*Evans J</t>
  </si>
  <si>
    <t>Parton T</t>
  </si>
  <si>
    <t>Cardall</t>
  </si>
  <si>
    <t>Cardall T</t>
  </si>
  <si>
    <t>John</t>
  </si>
  <si>
    <t>John D</t>
  </si>
  <si>
    <t>Englefield</t>
  </si>
  <si>
    <t>Englefield C</t>
  </si>
  <si>
    <t>*Englefield</t>
  </si>
  <si>
    <t>J v Rensburg</t>
  </si>
  <si>
    <t>Iyogun</t>
  </si>
  <si>
    <t>Iyogun E</t>
  </si>
  <si>
    <t>Langdon c</t>
  </si>
  <si>
    <t>Cunningham-Sth</t>
  </si>
  <si>
    <t>Cunningham-South C</t>
  </si>
  <si>
    <t>Odendaal B</t>
  </si>
  <si>
    <t>Hathaway J</t>
  </si>
  <si>
    <t>2022/23</t>
  </si>
  <si>
    <t>*Spencer for Saracens &amp; Redpath for Sale before 2022/23</t>
  </si>
  <si>
    <t>Pepper</t>
  </si>
  <si>
    <t>Molony</t>
  </si>
  <si>
    <t>Molony R</t>
  </si>
  <si>
    <t>Tuipulotu</t>
  </si>
  <si>
    <t>Tuipulotu K</t>
  </si>
  <si>
    <t>Chawatama</t>
  </si>
  <si>
    <t>Chawatama L</t>
  </si>
  <si>
    <t>Doughty T</t>
  </si>
  <si>
    <t>Barker</t>
  </si>
  <si>
    <t>Barker S</t>
  </si>
  <si>
    <t>Mata</t>
  </si>
  <si>
    <t>Mata V</t>
  </si>
  <si>
    <t>Cripps</t>
  </si>
  <si>
    <t>Cripps K</t>
  </si>
  <si>
    <t>Ravouvou</t>
  </si>
  <si>
    <t>Ravouvou K</t>
  </si>
  <si>
    <t>Wolstenholme</t>
  </si>
  <si>
    <t>Wolstenholme S</t>
  </si>
  <si>
    <t>Grahamslaw</t>
  </si>
  <si>
    <t>Grahamslaw S</t>
  </si>
  <si>
    <t>Grondona B</t>
  </si>
  <si>
    <t>Grondona S</t>
  </si>
  <si>
    <t>Taylor G</t>
  </si>
  <si>
    <t>Tull A</t>
  </si>
  <si>
    <t>Turner A</t>
  </si>
  <si>
    <t>Boshoff</t>
  </si>
  <si>
    <t>Boshoff A</t>
  </si>
  <si>
    <t>Harvey</t>
  </si>
  <si>
    <t>Harvey E</t>
  </si>
  <si>
    <t>O'Callaghan G</t>
  </si>
  <si>
    <t>Jenkins K</t>
  </si>
  <si>
    <t>Scott S</t>
  </si>
  <si>
    <t>Cusick J</t>
  </si>
  <si>
    <t>Halliwell</t>
  </si>
  <si>
    <t>Halliwell J</t>
  </si>
  <si>
    <t>Trevett L</t>
  </si>
  <si>
    <t>Trevett</t>
  </si>
  <si>
    <t>Pearce</t>
  </si>
  <si>
    <t>Pearce P</t>
  </si>
  <si>
    <t>Baker</t>
  </si>
  <si>
    <t>Baker T</t>
  </si>
  <si>
    <t>Gwilliam</t>
  </si>
  <si>
    <t>Gwilliam T</t>
  </si>
  <si>
    <t>Goodrick-Clarke</t>
  </si>
  <si>
    <t>Goodrick-Clarke W</t>
  </si>
  <si>
    <t>Roots J</t>
  </si>
  <si>
    <t>Bell</t>
  </si>
  <si>
    <t>Bell A</t>
  </si>
  <si>
    <t>Dorrell L</t>
  </si>
  <si>
    <t>Rigg</t>
  </si>
  <si>
    <t>Rigg W</t>
  </si>
  <si>
    <t>Gotovtsev</t>
  </si>
  <si>
    <t>Gotovtsev K</t>
  </si>
  <si>
    <t>Vivas M</t>
  </si>
  <si>
    <t>Eite</t>
  </si>
  <si>
    <t>Eite D</t>
  </si>
  <si>
    <t>Fasogban A</t>
  </si>
  <si>
    <t>Jones I</t>
  </si>
  <si>
    <t>McArthur</t>
  </si>
  <si>
    <t>McArthur A</t>
  </si>
  <si>
    <t>Taylor R</t>
  </si>
  <si>
    <t>Wade</t>
  </si>
  <si>
    <t>Wade C</t>
  </si>
  <si>
    <t>Williams T</t>
  </si>
  <si>
    <t>Petch A</t>
  </si>
  <si>
    <t>Lamositele</t>
  </si>
  <si>
    <t>Halfpenny L</t>
  </si>
  <si>
    <t>Jones W</t>
  </si>
  <si>
    <t>Lamositele T</t>
  </si>
  <si>
    <t>Ashworth C</t>
  </si>
  <si>
    <t>Driscoll</t>
  </si>
  <si>
    <t>Driscoll S</t>
  </si>
  <si>
    <t>Perese</t>
  </si>
  <si>
    <t>Perese I</t>
  </si>
  <si>
    <t>Wand</t>
  </si>
  <si>
    <t>Wand W</t>
  </si>
  <si>
    <t>Pearson G</t>
  </si>
  <si>
    <t>Hoyt T</t>
  </si>
  <si>
    <t>Allan</t>
  </si>
  <si>
    <t>Allan O</t>
  </si>
  <si>
    <t>Clarke H</t>
  </si>
  <si>
    <t>Davies C</t>
  </si>
  <si>
    <t>Kinder</t>
  </si>
  <si>
    <t>Kinder J</t>
  </si>
  <si>
    <t>Manz T</t>
  </si>
  <si>
    <t>Mellowes</t>
  </si>
  <si>
    <t>Mellowes B</t>
  </si>
  <si>
    <t>Satala M</t>
  </si>
  <si>
    <t>Williams S</t>
  </si>
  <si>
    <t>Bainbridge J</t>
  </si>
  <si>
    <t>Coulston</t>
  </si>
  <si>
    <t>Davis</t>
  </si>
  <si>
    <t>Coulston L</t>
  </si>
  <si>
    <t>Davis J</t>
  </si>
  <si>
    <t>Elliott J</t>
  </si>
  <si>
    <t>Greenwood</t>
  </si>
  <si>
    <t>Hawkins</t>
  </si>
  <si>
    <t>Leatherbarrow</t>
  </si>
  <si>
    <t>Greenwood N</t>
  </si>
  <si>
    <t>Hawkins J</t>
  </si>
  <si>
    <t>Kelly J</t>
  </si>
  <si>
    <t>Leatherbarrow O</t>
  </si>
  <si>
    <t>Newton</t>
  </si>
  <si>
    <t>Newton J</t>
  </si>
  <si>
    <t>Palframan</t>
  </si>
  <si>
    <t>Palframan R</t>
  </si>
  <si>
    <t>Scott A</t>
  </si>
  <si>
    <t>Spencer O</t>
  </si>
  <si>
    <t>Turnbull</t>
  </si>
  <si>
    <t>Turnbull C</t>
  </si>
  <si>
    <t>Wilkinson K</t>
  </si>
  <si>
    <t>Hearle</t>
  </si>
  <si>
    <t>Hearle A</t>
  </si>
  <si>
    <t>Arnold</t>
  </si>
  <si>
    <t>Arnold S</t>
  </si>
  <si>
    <t>Doherty C</t>
  </si>
  <si>
    <t>Metcalf J</t>
  </si>
  <si>
    <t>de Bruin</t>
  </si>
  <si>
    <t>de Bruin L</t>
  </si>
  <si>
    <t>Neild</t>
  </si>
  <si>
    <t>Neild C</t>
  </si>
  <si>
    <t>Gordon</t>
  </si>
  <si>
    <t>Gordon T</t>
  </si>
  <si>
    <t>Haffar</t>
  </si>
  <si>
    <t>Haffar T</t>
  </si>
  <si>
    <t>Langdon C</t>
  </si>
  <si>
    <t>Langdon N</t>
  </si>
  <si>
    <t>Logan</t>
  </si>
  <si>
    <t>Makepeace-Cubitt G</t>
  </si>
  <si>
    <t>Mayanavanua T</t>
  </si>
  <si>
    <t>West</t>
  </si>
  <si>
    <t>Wright</t>
  </si>
  <si>
    <t>West T</t>
  </si>
  <si>
    <t>Wright C</t>
  </si>
  <si>
    <t>Worsley S</t>
  </si>
  <si>
    <t>Addison W</t>
  </si>
  <si>
    <t>Roets L R</t>
  </si>
  <si>
    <t>Ma'asi-White</t>
  </si>
  <si>
    <t>Ma'asi-White R</t>
  </si>
  <si>
    <t>Schonert N</t>
  </si>
  <si>
    <t>Opoku-Fordjour</t>
  </si>
  <si>
    <t>Opoku-Fordjour A</t>
  </si>
  <si>
    <t>Wardle C</t>
  </si>
  <si>
    <t>van Rhyn</t>
  </si>
  <si>
    <t>van Rhyn E</t>
  </si>
  <si>
    <t>Andrews</t>
  </si>
  <si>
    <t>Andrews H</t>
  </si>
  <si>
    <t>Groves A</t>
  </si>
  <si>
    <t>Bedlow J</t>
  </si>
  <si>
    <t>Wills</t>
  </si>
  <si>
    <t>Woodman</t>
  </si>
  <si>
    <t>Wills A</t>
  </si>
  <si>
    <t>Woodman T</t>
  </si>
  <si>
    <t>Spink</t>
  </si>
  <si>
    <t>Spink S</t>
  </si>
  <si>
    <t>Burke</t>
  </si>
  <si>
    <t>Burke F</t>
  </si>
  <si>
    <t>Johnson</t>
  </si>
  <si>
    <t>Johnson L</t>
  </si>
  <si>
    <t>Braley</t>
  </si>
  <si>
    <t>Braley C</t>
  </si>
  <si>
    <t>Balmain F</t>
  </si>
  <si>
    <t>Hoskins O</t>
  </si>
  <si>
    <t>Carre</t>
  </si>
  <si>
    <t>Carre R</t>
  </si>
  <si>
    <t>Crean S</t>
  </si>
  <si>
    <t>Brantingham</t>
  </si>
  <si>
    <t>Brantingham P</t>
  </si>
  <si>
    <t>Tizard</t>
  </si>
  <si>
    <t>Tizard H</t>
  </si>
  <si>
    <t>Wilson H</t>
  </si>
  <si>
    <t>Merrett</t>
  </si>
  <si>
    <t>Michelow</t>
  </si>
  <si>
    <t>Merrett B</t>
  </si>
  <si>
    <t>Michelow N</t>
  </si>
  <si>
    <t>McParland A</t>
  </si>
  <si>
    <t>Munga C</t>
  </si>
  <si>
    <t>Eke</t>
  </si>
  <si>
    <t>Eke M</t>
  </si>
  <si>
    <t>*Johnson</t>
  </si>
  <si>
    <t>*Burke</t>
  </si>
  <si>
    <t>Onyeama-Christie</t>
  </si>
  <si>
    <t>Kemeny</t>
  </si>
  <si>
    <t>Kemeny J</t>
  </si>
  <si>
    <t>Volavola B</t>
  </si>
  <si>
    <t>Grayson E</t>
  </si>
  <si>
    <t>Brown-Bampoe</t>
  </si>
  <si>
    <t>Brown-Bampoe P</t>
  </si>
  <si>
    <t>Fricker T</t>
  </si>
  <si>
    <t>Isgro</t>
  </si>
  <si>
    <t>Isgro R</t>
  </si>
  <si>
    <t>McElroy</t>
  </si>
  <si>
    <t>McElroy T</t>
  </si>
  <si>
    <t>Riley W</t>
  </si>
  <si>
    <t>Baker E</t>
  </si>
  <si>
    <t>Staddon</t>
  </si>
  <si>
    <t>Staddon E</t>
  </si>
  <si>
    <t>Graham M</t>
  </si>
  <si>
    <t>Parry W</t>
  </si>
  <si>
    <t>Spandler</t>
  </si>
  <si>
    <t>Spandler J</t>
  </si>
  <si>
    <t>Emens</t>
  </si>
  <si>
    <t>Emens A</t>
  </si>
  <si>
    <t>Hyde</t>
  </si>
  <si>
    <t>Hyde H</t>
  </si>
  <si>
    <t>Schmid</t>
  </si>
  <si>
    <t>Schmid L</t>
  </si>
  <si>
    <t>Marmion K</t>
  </si>
  <si>
    <t>Elizalde</t>
  </si>
  <si>
    <t>Elizalde B</t>
  </si>
  <si>
    <t>Green</t>
  </si>
  <si>
    <t>Green A</t>
  </si>
  <si>
    <t>Offiah</t>
  </si>
  <si>
    <t>Offiah T</t>
  </si>
  <si>
    <t>Adderly-Jones M</t>
  </si>
  <si>
    <t>Nelson M</t>
  </si>
  <si>
    <t>Knight M</t>
  </si>
  <si>
    <t>van der Flier</t>
  </si>
  <si>
    <t>van der Flier A</t>
  </si>
  <si>
    <t>Threlfall</t>
  </si>
  <si>
    <t>Threlfall T</t>
  </si>
  <si>
    <t>Cousins T</t>
  </si>
  <si>
    <t>Brown F</t>
  </si>
  <si>
    <t>Moore-Aiono I</t>
  </si>
  <si>
    <t>Hall</t>
  </si>
  <si>
    <t>Hall A</t>
  </si>
  <si>
    <t>Hammick</t>
  </si>
  <si>
    <t>Hammick R</t>
  </si>
  <si>
    <t>Ene O</t>
  </si>
  <si>
    <t>Hennessey L</t>
  </si>
  <si>
    <t>Lennon</t>
  </si>
  <si>
    <t>Lennon O</t>
  </si>
  <si>
    <t>Burrow</t>
  </si>
  <si>
    <t>Burrow T</t>
  </si>
  <si>
    <t>Hammersley B</t>
  </si>
  <si>
    <t>Sylvester</t>
  </si>
  <si>
    <t>Sylvester K</t>
  </si>
  <si>
    <t>Roux</t>
  </si>
  <si>
    <t>Roux Q</t>
  </si>
  <si>
    <t>Blackmore G</t>
  </si>
  <si>
    <t>Pearson T</t>
  </si>
  <si>
    <t>Tua</t>
  </si>
  <si>
    <t>Tua T</t>
  </si>
  <si>
    <t>Byrne H</t>
  </si>
  <si>
    <t>Walker H</t>
  </si>
  <si>
    <t>Haydon-Wood W</t>
  </si>
  <si>
    <t>*Haydon-Wood for Newcastle before 2022-23 &amp; for Wasps in 2022-23</t>
  </si>
  <si>
    <t>Clark M</t>
  </si>
  <si>
    <t>Butler W</t>
  </si>
  <si>
    <t>Butler</t>
  </si>
  <si>
    <t>Kelly S</t>
  </si>
  <si>
    <t>Davies O</t>
  </si>
  <si>
    <t>Hobson</t>
  </si>
  <si>
    <t>Hobson W</t>
  </si>
  <si>
    <t>Glister W</t>
  </si>
  <si>
    <t xml:space="preserve">Davidson </t>
  </si>
  <si>
    <t>Tuipulotu C</t>
  </si>
  <si>
    <t>Donoghue</t>
  </si>
  <si>
    <t>Donogue C</t>
  </si>
  <si>
    <t>Cowan</t>
  </si>
  <si>
    <t>Cowan T</t>
  </si>
  <si>
    <t>le Roux</t>
  </si>
  <si>
    <t>le Roux N</t>
  </si>
  <si>
    <t>Donoghue C</t>
  </si>
  <si>
    <t>Allport</t>
  </si>
  <si>
    <t>Allport O</t>
  </si>
  <si>
    <t>Wilson O</t>
  </si>
  <si>
    <t>Kirk</t>
  </si>
  <si>
    <t>Kirk S</t>
  </si>
  <si>
    <t>Pasco</t>
  </si>
  <si>
    <t>Pasco B</t>
  </si>
  <si>
    <t>Waghorn</t>
  </si>
  <si>
    <t>Waghorn B</t>
  </si>
  <si>
    <t>Carnduff</t>
  </si>
  <si>
    <t>Carnduff F</t>
  </si>
  <si>
    <t>Parsons</t>
  </si>
  <si>
    <t>Parsons R</t>
  </si>
  <si>
    <t>Witheat R</t>
  </si>
  <si>
    <t>Benson A</t>
  </si>
  <si>
    <t>Petelo Mapu J</t>
  </si>
  <si>
    <t>Cotgreave</t>
  </si>
  <si>
    <t>Cotgreave J</t>
  </si>
  <si>
    <t>Bracken J</t>
  </si>
  <si>
    <t xml:space="preserve">Ward M </t>
  </si>
  <si>
    <t>Onasanya T</t>
  </si>
  <si>
    <t>Fasogbon</t>
  </si>
  <si>
    <t>Maloney M</t>
  </si>
  <si>
    <t>*Williams</t>
  </si>
  <si>
    <t>Griffin A</t>
  </si>
  <si>
    <t>Green L</t>
  </si>
  <si>
    <t>*Haydon-W</t>
  </si>
  <si>
    <t>Haydon-W</t>
  </si>
  <si>
    <t>Bracken C</t>
  </si>
  <si>
    <t>Lilley</t>
  </si>
  <si>
    <t>Lilley N</t>
  </si>
  <si>
    <t>Moloney</t>
  </si>
  <si>
    <t>Weimann</t>
  </si>
  <si>
    <t>Woodward J</t>
  </si>
  <si>
    <t>Weimann J</t>
  </si>
  <si>
    <t>Top Points Scorer^</t>
  </si>
  <si>
    <t>2023/24</t>
  </si>
  <si>
    <t>HARLEQUINS 2025/26 SCORERS</t>
  </si>
  <si>
    <t>NEWCASTLE RED BULLS 2025/26 SCORERS</t>
  </si>
  <si>
    <t>GLOUCESTER 2025/26 SCORERS</t>
  </si>
  <si>
    <t>Edwards-Giraud</t>
  </si>
  <si>
    <t>Byrne R</t>
  </si>
  <si>
    <t>Edwards-Giraud J</t>
  </si>
  <si>
    <t>EXETER 2025/26 SCORERS</t>
  </si>
  <si>
    <t>Ikitau</t>
  </si>
  <si>
    <t>Varney</t>
  </si>
  <si>
    <t>Tchumbadze</t>
  </si>
  <si>
    <t>Mona</t>
  </si>
  <si>
    <t>Dweba</t>
  </si>
  <si>
    <t>Chamberlain</t>
  </si>
  <si>
    <t>NRB</t>
  </si>
  <si>
    <t>Kerr</t>
  </si>
  <si>
    <t>Kerr S</t>
  </si>
  <si>
    <t>LEICESTER 2025/26 SCORERS</t>
  </si>
  <si>
    <t>Moro</t>
  </si>
  <si>
    <t>Titcombe</t>
  </si>
  <si>
    <t>Searle</t>
  </si>
  <si>
    <t>Titcombe C</t>
  </si>
  <si>
    <t>Tuimauga</t>
  </si>
  <si>
    <t>Tuimauga T</t>
  </si>
  <si>
    <t>Hutchison</t>
  </si>
  <si>
    <t>Auva'a</t>
  </si>
  <si>
    <t>*Daly for Wasps before 2020/21, *Burke for Force (Super Rugby) before last season</t>
  </si>
  <si>
    <t>SALE 2025/26 SCORERS</t>
  </si>
  <si>
    <t>Hanson</t>
  </si>
  <si>
    <t>Hanson D</t>
  </si>
  <si>
    <t>BRISTOL 2025/26 SCORERS</t>
  </si>
  <si>
    <t>Carrington</t>
  </si>
  <si>
    <t>Carrington J</t>
  </si>
  <si>
    <t>SARACENS 2025/26 SCORERS</t>
  </si>
  <si>
    <t>Knight W</t>
  </si>
  <si>
    <t>Davies</t>
  </si>
  <si>
    <t>Caven</t>
  </si>
  <si>
    <t>Caven E</t>
  </si>
  <si>
    <t>Loader</t>
  </si>
  <si>
    <t>Redshaw</t>
  </si>
  <si>
    <t>Mann</t>
  </si>
  <si>
    <t>Austin</t>
  </si>
  <si>
    <t>Basham</t>
  </si>
  <si>
    <t>Bokenham</t>
  </si>
  <si>
    <t>Laulala</t>
  </si>
  <si>
    <t>Benz-Salomon</t>
  </si>
  <si>
    <t>Venter</t>
  </si>
  <si>
    <t>Davies R</t>
  </si>
  <si>
    <t>Ramply</t>
  </si>
  <si>
    <t>Ivanishvili</t>
  </si>
  <si>
    <t>Rees-Zammit</t>
  </si>
  <si>
    <t>Owen J</t>
  </si>
  <si>
    <t>Rees-Zammit L</t>
  </si>
  <si>
    <t>Malins</t>
  </si>
  <si>
    <t>*Farrell</t>
  </si>
  <si>
    <t>*Johnson for Newcastle before last season; ^Farrell for Racing 92 last season</t>
  </si>
  <si>
    <t>NORTHAMPTON 2025/26 SCORERS</t>
  </si>
  <si>
    <t>Kundiona</t>
  </si>
  <si>
    <t>Caqusau</t>
  </si>
  <si>
    <t>Fischetti</t>
  </si>
  <si>
    <t>Chick</t>
  </si>
  <si>
    <t>Belleau</t>
  </si>
  <si>
    <t>Belleau A</t>
  </si>
  <si>
    <t>van der Mescht</t>
  </si>
  <si>
    <t>Martin J</t>
  </si>
  <si>
    <t>Pugh</t>
  </si>
  <si>
    <t>*Belleau</t>
  </si>
  <si>
    <t>*Smith for Worcester before 2022/23</t>
  </si>
  <si>
    <t xml:space="preserve"> *Belleau for Toulon 2016/17-2021/22 &amp; Clermont 2022/23-last season</t>
  </si>
  <si>
    <t>van der Mescht JJ</t>
  </si>
  <si>
    <t>Treadwell</t>
  </si>
  <si>
    <t>Petti</t>
  </si>
  <si>
    <t>Williams H</t>
  </si>
  <si>
    <t>Turner</t>
  </si>
  <si>
    <t>Townsend</t>
  </si>
  <si>
    <t>Green M</t>
  </si>
  <si>
    <t>Wenger</t>
  </si>
  <si>
    <t>Delgado</t>
  </si>
  <si>
    <t>PREM 2024/25</t>
  </si>
  <si>
    <t>McCarthy</t>
  </si>
  <si>
    <t>Moro J</t>
  </si>
  <si>
    <t>Miell</t>
  </si>
  <si>
    <t>Hamer-Webb</t>
  </si>
  <si>
    <t>O'Connor</t>
  </si>
  <si>
    <t>Searle B</t>
  </si>
  <si>
    <t>Stewart</t>
  </si>
  <si>
    <t>Thompson</t>
  </si>
  <si>
    <t>Kofe</t>
  </si>
  <si>
    <t>Crowley</t>
  </si>
  <si>
    <t>Crowley R</t>
  </si>
  <si>
    <t>*Bailey</t>
  </si>
  <si>
    <t>BATH 2025/26 SCORERS</t>
  </si>
  <si>
    <t>Frost</t>
  </si>
  <si>
    <t>van der Linde</t>
  </si>
  <si>
    <t>Arundell</t>
  </si>
  <si>
    <t>Arundell H</t>
  </si>
  <si>
    <t>Griffin, Archie</t>
  </si>
  <si>
    <t>Griffin, Alfie</t>
  </si>
  <si>
    <t>Griffin, C</t>
  </si>
  <si>
    <t>Mountford</t>
  </si>
  <si>
    <t>Linegar</t>
  </si>
  <si>
    <t>Linegar J</t>
  </si>
  <si>
    <t>*Carreras</t>
  </si>
  <si>
    <t>*Russell for Racing 92 before last season; Carreras for Gloucester before this season</t>
  </si>
  <si>
    <t>Dweba J</t>
  </si>
  <si>
    <t>Louw</t>
  </si>
  <si>
    <t>Vermeulen</t>
  </si>
  <si>
    <t>Hogg</t>
  </si>
  <si>
    <t>Hogg P</t>
  </si>
  <si>
    <t>O'Connor J</t>
  </si>
  <si>
    <t>Atkinson also for Wasps  in 2022/23; Englefield for L Irish before 2023/24</t>
  </si>
  <si>
    <t>*Bailey for Bath before this season</t>
  </si>
  <si>
    <t>*Spencer 7/8 in PREM, 3/5 Champs Cup &amp; 5/6 PREM Cup for Saracens in 2019/20</t>
  </si>
  <si>
    <t>*Charlie Atkinson figures include 2/3 PREM &amp; 7/13 Prm Cup for Leicester in 2023/24</t>
  </si>
  <si>
    <t>Sela</t>
  </si>
  <si>
    <t>Sela V</t>
  </si>
  <si>
    <t>*Chamberlain</t>
  </si>
  <si>
    <t xml:space="preserve">*Chamberlain for Bulls last season &amp; for Sharks before 2024/25  </t>
  </si>
  <si>
    <t>Chamberlain B</t>
  </si>
  <si>
    <t>Onyeama-Christie  A</t>
  </si>
  <si>
    <t>Caluori</t>
  </si>
  <si>
    <t>Caluori N</t>
  </si>
  <si>
    <t>Farrell</t>
  </si>
  <si>
    <t>Farrell O</t>
  </si>
  <si>
    <t>Todaro</t>
  </si>
  <si>
    <t>Todaro E</t>
  </si>
  <si>
    <t>*Jordan</t>
  </si>
  <si>
    <t>*MacGinty for Sale before 2022/23; Jordan for Glasgow before this season</t>
  </si>
  <si>
    <t>Jordan T</t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</si>
  <si>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</si>
  <si>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  <r>
      <rPr>
        <b/>
        <sz val="11"/>
        <rFont val="Calibri"/>
        <family val="2"/>
        <scheme val="minor"/>
      </rPr>
      <t xml:space="preserve"> 2025/26</t>
    </r>
  </si>
  <si>
    <t>Williams for Cardiff before last season; Byrne for Leinster before last season</t>
  </si>
  <si>
    <t>*Byrne</t>
  </si>
  <si>
    <t>Venter J</t>
  </si>
  <si>
    <t>Joseph W</t>
  </si>
  <si>
    <t>*Evans for Cardiff before 2023/24</t>
  </si>
  <si>
    <t>*Searle for Worcester &amp; Bath 2022/23, Worcester 2019/20-2022/23 &amp; Wasps before 2019/20</t>
  </si>
  <si>
    <t>Loader B</t>
  </si>
  <si>
    <t>de Gl'ville</t>
  </si>
  <si>
    <t>Mafi</t>
  </si>
  <si>
    <t>Mafi A</t>
  </si>
  <si>
    <t>Coetzee S</t>
  </si>
  <si>
    <t>Russell slotted 24 kicks in a row in all comps from May 17 2025 to Oct 18 2025</t>
  </si>
  <si>
    <t>Turner G</t>
  </si>
  <si>
    <t>Bevan</t>
  </si>
  <si>
    <t>Weston</t>
  </si>
  <si>
    <t>Weston R</t>
  </si>
  <si>
    <t>Bevan E</t>
  </si>
  <si>
    <t>Griffin C</t>
  </si>
  <si>
    <t>Pater</t>
  </si>
  <si>
    <t>Rowe</t>
  </si>
  <si>
    <t>Rowe T</t>
  </si>
  <si>
    <t>Pater J</t>
  </si>
  <si>
    <t>Wilson</t>
  </si>
  <si>
    <t>Wilson T</t>
  </si>
  <si>
    <t>Roberts</t>
  </si>
  <si>
    <t>Roberts O</t>
  </si>
  <si>
    <t>Thomas N</t>
  </si>
  <si>
    <t>James C</t>
  </si>
  <si>
    <t>Trenholm W</t>
  </si>
  <si>
    <t>Freeman-Price</t>
  </si>
  <si>
    <t>Freeman-Price K</t>
  </si>
  <si>
    <t>Coen</t>
  </si>
  <si>
    <t>Coen B</t>
  </si>
  <si>
    <t>Moore</t>
  </si>
  <si>
    <t>Moore S</t>
  </si>
  <si>
    <t>Hutchison C</t>
  </si>
  <si>
    <t>Caqusau A</t>
  </si>
  <si>
    <t>Staples</t>
  </si>
  <si>
    <t>Staples J</t>
  </si>
  <si>
    <t>Keylock</t>
  </si>
  <si>
    <t>Clarke E</t>
  </si>
  <si>
    <t>Keylock F</t>
  </si>
  <si>
    <t>Scola</t>
  </si>
  <si>
    <t>Scola O</t>
  </si>
  <si>
    <t>Davidson L</t>
  </si>
  <si>
    <t>Adegbemile</t>
  </si>
  <si>
    <t>Adegbemile T</t>
  </si>
  <si>
    <t>Gulley</t>
  </si>
  <si>
    <t>Ridl</t>
  </si>
  <si>
    <t>At 29/01/26</t>
  </si>
  <si>
    <t>Gulley L</t>
  </si>
  <si>
    <t>Ridl C</t>
  </si>
  <si>
    <t>Qual = 5 attempts</t>
  </si>
  <si>
    <t>Thompson J</t>
  </si>
  <si>
    <t>Ivanishvili L</t>
  </si>
  <si>
    <t>Qual = 10 Kicks</t>
  </si>
  <si>
    <t>Obatoyinbo H</t>
  </si>
  <si>
    <t>Christie</t>
  </si>
  <si>
    <t>Christie T</t>
  </si>
  <si>
    <t>James K</t>
  </si>
  <si>
    <t>Benitez Cruz</t>
  </si>
  <si>
    <t>Moroni</t>
  </si>
  <si>
    <t>Moroni M</t>
  </si>
  <si>
    <t>At 22/01/26</t>
  </si>
  <si>
    <t>Knight C</t>
  </si>
  <si>
    <t>Austin M</t>
  </si>
  <si>
    <t>Fischetti D</t>
  </si>
  <si>
    <t>Heaven</t>
  </si>
  <si>
    <t>Heaven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</si>
</sst>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E3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5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1" fillId="0" borderId="8" xfId="0" applyFont="1" applyBorder="1"/>
    <xf numFmtId="0" fontId="31" fillId="7" borderId="0" xfId="0" applyFont="1" applyFill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32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36" fillId="3" borderId="1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0" fontId="36" fillId="13" borderId="3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right" vertical="center" wrapText="1"/>
    </xf>
    <xf numFmtId="1" fontId="36" fillId="3" borderId="4" xfId="0" applyNumberFormat="1" applyFont="1" applyFill="1" applyBorder="1" applyAlignment="1">
      <alignment horizontal="right" vertical="center" wrapText="1"/>
    </xf>
    <xf numFmtId="14" fontId="36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7" fillId="7" borderId="0" xfId="0" applyFont="1" applyFill="1"/>
    <xf numFmtId="0" fontId="37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3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4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0" fontId="41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right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vertical="center" wrapText="1"/>
    </xf>
    <xf numFmtId="0" fontId="43" fillId="15" borderId="3" xfId="0" applyFont="1" applyFill="1" applyBorder="1" applyAlignment="1">
      <alignment vertical="center" wrapText="1"/>
    </xf>
    <xf numFmtId="0" fontId="43" fillId="15" borderId="2" xfId="0" applyFont="1" applyFill="1" applyBorder="1" applyAlignment="1">
      <alignment horizontal="right" vertical="center" wrapText="1"/>
    </xf>
    <xf numFmtId="0" fontId="43" fillId="15" borderId="4" xfId="0" applyFont="1" applyFill="1" applyBorder="1" applyAlignment="1">
      <alignment horizontal="right" vertical="center" wrapText="1"/>
    </xf>
    <xf numFmtId="1" fontId="43" fillId="15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1" fillId="3" borderId="2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right" vertical="center" wrapText="1"/>
    </xf>
    <xf numFmtId="0" fontId="39" fillId="7" borderId="0" xfId="0" applyFont="1" applyFill="1" applyAlignment="1">
      <alignment horizontal="right" vertical="center" wrapText="1"/>
    </xf>
    <xf numFmtId="0" fontId="44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5" fillId="13" borderId="2" xfId="0" applyFont="1" applyFill="1" applyBorder="1" applyAlignment="1">
      <alignment horizontal="right" vertical="center" wrapText="1"/>
    </xf>
    <xf numFmtId="0" fontId="45" fillId="13" borderId="4" xfId="0" applyFont="1" applyFill="1" applyBorder="1" applyAlignment="1">
      <alignment horizontal="right" vertical="center" wrapText="1"/>
    </xf>
    <xf numFmtId="0" fontId="45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0" fontId="45" fillId="15" borderId="2" xfId="0" applyFont="1" applyFill="1" applyBorder="1" applyAlignment="1">
      <alignment horizontal="right" vertical="center" wrapText="1"/>
    </xf>
    <xf numFmtId="0" fontId="45" fillId="15" borderId="4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horizontal="right"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46" fillId="10" borderId="2" xfId="0" applyFont="1" applyFill="1" applyBorder="1" applyAlignment="1">
      <alignment horizontal="right" vertical="center" wrapText="1"/>
    </xf>
    <xf numFmtId="0" fontId="46" fillId="10" borderId="4" xfId="0" applyFont="1" applyFill="1" applyBorder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0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1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14" fontId="5" fillId="16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6" borderId="1" xfId="0" applyNumberFormat="1" applyFont="1" applyFill="1" applyBorder="1" applyAlignment="1">
      <alignment horizontal="left" vertical="center" wrapText="1"/>
    </xf>
    <xf numFmtId="14" fontId="52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3" fillId="15" borderId="2" xfId="0" applyFont="1" applyFill="1" applyBorder="1" applyAlignment="1">
      <alignment horizontal="right" vertical="center" wrapText="1"/>
    </xf>
    <xf numFmtId="0" fontId="53" fillId="15" borderId="4" xfId="0" applyFont="1" applyFill="1" applyBorder="1" applyAlignment="1">
      <alignment horizontal="right" vertical="center" wrapText="1"/>
    </xf>
    <xf numFmtId="0" fontId="9" fillId="1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9" fillId="17" borderId="4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10" fillId="17" borderId="1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right" vertical="center" wrapText="1"/>
    </xf>
    <xf numFmtId="0" fontId="10" fillId="17" borderId="4" xfId="0" applyFont="1" applyFill="1" applyBorder="1" applyAlignment="1">
      <alignment horizontal="right" vertical="center" wrapText="1"/>
    </xf>
    <xf numFmtId="0" fontId="54" fillId="17" borderId="2" xfId="0" applyFont="1" applyFill="1" applyBorder="1" applyAlignment="1">
      <alignment horizontal="right" vertical="center" wrapText="1"/>
    </xf>
    <xf numFmtId="0" fontId="54" fillId="17" borderId="4" xfId="0" applyFont="1" applyFill="1" applyBorder="1" applyAlignment="1">
      <alignment horizontal="right" vertical="center" wrapText="1"/>
    </xf>
    <xf numFmtId="0" fontId="53" fillId="14" borderId="2" xfId="0" applyFont="1" applyFill="1" applyBorder="1" applyAlignment="1">
      <alignment horizontal="right" vertical="center" wrapText="1"/>
    </xf>
    <xf numFmtId="0" fontId="53" fillId="14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3" fillId="13" borderId="2" xfId="0" applyFont="1" applyFill="1" applyBorder="1" applyAlignment="1">
      <alignment horizontal="right" vertical="center" wrapText="1"/>
    </xf>
    <xf numFmtId="0" fontId="53" fillId="13" borderId="4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 vertical="center" wrapText="1"/>
    </xf>
    <xf numFmtId="14" fontId="55" fillId="3" borderId="3" xfId="0" applyNumberFormat="1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vertical="center" wrapText="1"/>
    </xf>
    <xf numFmtId="0" fontId="57" fillId="3" borderId="3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1" fontId="57" fillId="3" borderId="4" xfId="0" applyNumberFormat="1" applyFont="1" applyFill="1" applyBorder="1" applyAlignment="1">
      <alignment horizontal="right" vertical="center" wrapText="1"/>
    </xf>
    <xf numFmtId="0" fontId="57" fillId="3" borderId="1" xfId="0" applyFont="1" applyFill="1" applyBorder="1"/>
    <xf numFmtId="14" fontId="15" fillId="16" borderId="3" xfId="0" applyNumberFormat="1" applyFont="1" applyFill="1" applyBorder="1" applyAlignment="1">
      <alignment horizontal="left" vertical="center" wrapText="1"/>
    </xf>
    <xf numFmtId="0" fontId="58" fillId="6" borderId="2" xfId="0" applyFont="1" applyFill="1" applyBorder="1" applyAlignment="1">
      <alignment horizontal="right" vertical="center" wrapText="1"/>
    </xf>
    <xf numFmtId="0" fontId="58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6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right" vertical="center" wrapText="1"/>
    </xf>
    <xf numFmtId="1" fontId="36" fillId="3" borderId="0" xfId="0" applyNumberFormat="1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15" fillId="16" borderId="1" xfId="0" applyFont="1" applyFill="1" applyBorder="1" applyAlignment="1">
      <alignment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6" fillId="16" borderId="2" xfId="0" applyFont="1" applyFill="1" applyBorder="1" applyAlignment="1">
      <alignment horizontal="right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0" fontId="46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1" fontId="15" fillId="16" borderId="4" xfId="0" applyNumberFormat="1" applyFont="1" applyFill="1" applyBorder="1" applyAlignment="1">
      <alignment horizontal="righ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vertical="center" wrapText="1"/>
    </xf>
    <xf numFmtId="0" fontId="12" fillId="7" borderId="1" xfId="0" applyFont="1" applyFill="1" applyBorder="1"/>
    <xf numFmtId="0" fontId="12" fillId="4" borderId="1" xfId="0" applyFont="1" applyFill="1" applyBorder="1"/>
    <xf numFmtId="0" fontId="10" fillId="7" borderId="17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5" fillId="18" borderId="1" xfId="0" applyFont="1" applyFill="1" applyBorder="1" applyAlignment="1">
      <alignment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horizontal="right" vertical="center" wrapText="1"/>
    </xf>
    <xf numFmtId="0" fontId="46" fillId="18" borderId="2" xfId="0" applyFont="1" applyFill="1" applyBorder="1" applyAlignment="1">
      <alignment horizontal="right" vertical="center" wrapText="1"/>
    </xf>
    <xf numFmtId="0" fontId="32" fillId="18" borderId="2" xfId="0" applyFont="1" applyFill="1" applyBorder="1" applyAlignment="1">
      <alignment horizontal="right" vertical="center" wrapText="1"/>
    </xf>
    <xf numFmtId="0" fontId="15" fillId="18" borderId="3" xfId="0" applyFont="1" applyFill="1" applyBorder="1" applyAlignment="1">
      <alignment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18" fillId="18" borderId="4" xfId="0" applyFont="1" applyFill="1" applyBorder="1" applyAlignment="1">
      <alignment horizontal="right" vertical="center" wrapText="1"/>
    </xf>
    <xf numFmtId="0" fontId="46" fillId="18" borderId="4" xfId="0" applyFont="1" applyFill="1" applyBorder="1" applyAlignment="1">
      <alignment horizontal="right" vertical="center" wrapText="1"/>
    </xf>
    <xf numFmtId="0" fontId="32" fillId="18" borderId="4" xfId="0" applyFont="1" applyFill="1" applyBorder="1" applyAlignment="1">
      <alignment horizontal="right" vertical="center" wrapText="1"/>
    </xf>
    <xf numFmtId="14" fontId="15" fillId="18" borderId="1" xfId="0" applyNumberFormat="1" applyFont="1" applyFill="1" applyBorder="1" applyAlignment="1">
      <alignment horizontal="lef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0" fontId="15" fillId="18" borderId="1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right" vertical="center" wrapText="1"/>
    </xf>
    <xf numFmtId="1" fontId="15" fillId="18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1" fontId="8" fillId="9" borderId="1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Alignment="1">
      <alignment horizontal="left"/>
    </xf>
    <xf numFmtId="0" fontId="60" fillId="7" borderId="0" xfId="0" applyFont="1" applyFill="1"/>
    <xf numFmtId="0" fontId="61" fillId="0" borderId="0" xfId="0" applyFont="1"/>
    <xf numFmtId="14" fontId="0" fillId="7" borderId="3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62" fillId="7" borderId="1" xfId="0" applyFont="1" applyFill="1" applyBorder="1" applyAlignment="1">
      <alignment vertical="center" wrapText="1"/>
    </xf>
    <xf numFmtId="0" fontId="62" fillId="7" borderId="2" xfId="0" applyFont="1" applyFill="1" applyBorder="1" applyAlignment="1">
      <alignment vertical="center" wrapText="1"/>
    </xf>
    <xf numFmtId="0" fontId="62" fillId="9" borderId="2" xfId="0" applyFont="1" applyFill="1" applyBorder="1" applyAlignment="1">
      <alignment horizontal="right" vertical="center" wrapText="1"/>
    </xf>
    <xf numFmtId="0" fontId="62" fillId="9" borderId="1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9" borderId="1" xfId="0" applyFont="1" applyFill="1" applyBorder="1"/>
    <xf numFmtId="0" fontId="9" fillId="7" borderId="3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center" wrapText="1"/>
    </xf>
    <xf numFmtId="0" fontId="9" fillId="7" borderId="4" xfId="0" applyFont="1" applyFill="1" applyBorder="1"/>
    <xf numFmtId="0" fontId="9" fillId="7" borderId="3" xfId="0" applyFont="1" applyFill="1" applyBorder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3" xfId="0" applyFont="1" applyFill="1" applyBorder="1"/>
    <xf numFmtId="0" fontId="45" fillId="7" borderId="1" xfId="0" applyFont="1" applyFill="1" applyBorder="1"/>
    <xf numFmtId="0" fontId="45" fillId="7" borderId="1" xfId="0" applyFont="1" applyFill="1" applyBorder="1" applyAlignment="1">
      <alignment horizontal="right" vertical="center" wrapText="1"/>
    </xf>
    <xf numFmtId="0" fontId="45" fillId="7" borderId="3" xfId="0" applyFont="1" applyFill="1" applyBorder="1"/>
    <xf numFmtId="0" fontId="45" fillId="17" borderId="1" xfId="0" applyFont="1" applyFill="1" applyBorder="1"/>
    <xf numFmtId="0" fontId="62" fillId="17" borderId="2" xfId="0" applyFont="1" applyFill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45" fillId="17" borderId="1" xfId="0" applyFont="1" applyFill="1" applyBorder="1" applyAlignment="1">
      <alignment horizontal="right" vertical="center" wrapText="1"/>
    </xf>
    <xf numFmtId="0" fontId="9" fillId="17" borderId="4" xfId="0" applyFont="1" applyFill="1" applyBorder="1"/>
    <xf numFmtId="0" fontId="9" fillId="17" borderId="3" xfId="0" applyFont="1" applyFill="1" applyBorder="1" applyAlignment="1">
      <alignment vertical="center" wrapText="1"/>
    </xf>
    <xf numFmtId="0" fontId="9" fillId="17" borderId="3" xfId="0" applyFont="1" applyFill="1" applyBorder="1"/>
    <xf numFmtId="0" fontId="9" fillId="17" borderId="3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/>
    <xf numFmtId="0" fontId="45" fillId="17" borderId="4" xfId="0" applyFont="1" applyFill="1" applyBorder="1"/>
    <xf numFmtId="0" fontId="45" fillId="17" borderId="6" xfId="0" applyFont="1" applyFill="1" applyBorder="1"/>
    <xf numFmtId="0" fontId="45" fillId="9" borderId="1" xfId="0" applyFont="1" applyFill="1" applyBorder="1" applyAlignment="1">
      <alignment horizontal="right"/>
    </xf>
    <xf numFmtId="1" fontId="45" fillId="9" borderId="1" xfId="0" applyNumberFormat="1" applyFont="1" applyFill="1" applyBorder="1"/>
    <xf numFmtId="1" fontId="45" fillId="9" borderId="1" xfId="0" applyNumberFormat="1" applyFont="1" applyFill="1" applyBorder="1" applyAlignment="1">
      <alignment horizontal="right"/>
    </xf>
    <xf numFmtId="0" fontId="15" fillId="19" borderId="1" xfId="0" applyFont="1" applyFill="1" applyBorder="1" applyAlignment="1">
      <alignment vertical="center" wrapText="1"/>
    </xf>
    <xf numFmtId="0" fontId="59" fillId="19" borderId="2" xfId="0" applyFont="1" applyFill="1" applyBorder="1" applyAlignment="1">
      <alignment horizontal="right" vertical="center" wrapText="1"/>
    </xf>
    <xf numFmtId="0" fontId="9" fillId="19" borderId="2" xfId="0" applyFont="1" applyFill="1" applyBorder="1" applyAlignment="1">
      <alignment horizontal="right" vertical="center" wrapText="1"/>
    </xf>
    <xf numFmtId="0" fontId="46" fillId="19" borderId="2" xfId="0" applyFont="1" applyFill="1" applyBorder="1" applyAlignment="1">
      <alignment horizontal="right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15" fillId="19" borderId="3" xfId="0" applyFont="1" applyFill="1" applyBorder="1" applyAlignment="1">
      <alignment vertical="center" wrapText="1"/>
    </xf>
    <xf numFmtId="0" fontId="59" fillId="19" borderId="4" xfId="0" applyFont="1" applyFill="1" applyBorder="1" applyAlignment="1">
      <alignment horizontal="right" vertical="center" wrapText="1"/>
    </xf>
    <xf numFmtId="0" fontId="9" fillId="19" borderId="4" xfId="0" applyFont="1" applyFill="1" applyBorder="1" applyAlignment="1">
      <alignment horizontal="right" vertical="center" wrapText="1"/>
    </xf>
    <xf numFmtId="0" fontId="46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14" fontId="16" fillId="7" borderId="3" xfId="0" applyNumberFormat="1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right" vertical="center" wrapText="1"/>
    </xf>
    <xf numFmtId="1" fontId="15" fillId="11" borderId="1" xfId="0" applyNumberFormat="1" applyFont="1" applyFill="1" applyBorder="1" applyAlignment="1">
      <alignment horizontal="right" vertical="center" wrapText="1"/>
    </xf>
    <xf numFmtId="0" fontId="15" fillId="11" borderId="11" xfId="0" applyFont="1" applyFill="1" applyBorder="1" applyAlignment="1">
      <alignment vertical="center" wrapText="1"/>
    </xf>
    <xf numFmtId="0" fontId="15" fillId="11" borderId="12" xfId="0" applyFont="1" applyFill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right" vertical="center" wrapText="1"/>
    </xf>
    <xf numFmtId="1" fontId="15" fillId="11" borderId="4" xfId="0" applyNumberFormat="1" applyFont="1" applyFill="1" applyBorder="1" applyAlignment="1">
      <alignment horizontal="right" vertical="center" wrapText="1"/>
    </xf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64" fillId="0" borderId="0" xfId="0" applyFont="1"/>
    <xf numFmtId="14" fontId="47" fillId="7" borderId="1" xfId="0" applyNumberFormat="1" applyFont="1" applyFill="1" applyBorder="1" applyAlignment="1">
      <alignment horizontal="left" vertical="center" wrapText="1"/>
    </xf>
    <xf numFmtId="14" fontId="47" fillId="7" borderId="3" xfId="0" applyNumberFormat="1" applyFont="1" applyFill="1" applyBorder="1" applyAlignment="1">
      <alignment horizontal="left" vertical="center" wrapText="1"/>
    </xf>
    <xf numFmtId="14" fontId="47" fillId="12" borderId="3" xfId="0" applyNumberFormat="1" applyFont="1" applyFill="1" applyBorder="1" applyAlignment="1">
      <alignment horizontal="left" vertical="center" wrapText="1"/>
    </xf>
    <xf numFmtId="0" fontId="45" fillId="12" borderId="0" xfId="0" applyFont="1" applyFill="1"/>
    <xf numFmtId="0" fontId="60" fillId="9" borderId="1" xfId="0" applyFont="1" applyFill="1" applyBorder="1" applyAlignment="1">
      <alignment horizontal="right"/>
    </xf>
    <xf numFmtId="0" fontId="9" fillId="9" borderId="3" xfId="0" applyFont="1" applyFill="1" applyBorder="1"/>
    <xf numFmtId="0" fontId="8" fillId="4" borderId="1" xfId="0" applyFont="1" applyFill="1" applyBorder="1" applyAlignment="1">
      <alignment vertical="center" wrapText="1"/>
    </xf>
    <xf numFmtId="0" fontId="0" fillId="7" borderId="13" xfId="0" applyFill="1" applyBorder="1"/>
    <xf numFmtId="0" fontId="60" fillId="9" borderId="12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right" vertical="center" wrapText="1"/>
    </xf>
    <xf numFmtId="14" fontId="15" fillId="18" borderId="3" xfId="0" applyNumberFormat="1" applyFont="1" applyFill="1" applyBorder="1" applyAlignment="1">
      <alignment horizontal="left" vertical="center" wrapText="1"/>
    </xf>
    <xf numFmtId="14" fontId="36" fillId="3" borderId="0" xfId="0" applyNumberFormat="1" applyFont="1" applyFill="1" applyAlignment="1">
      <alignment horizontal="left" vertical="center" wrapText="1"/>
    </xf>
    <xf numFmtId="0" fontId="45" fillId="7" borderId="0" xfId="0" applyFont="1" applyFill="1"/>
    <xf numFmtId="0" fontId="9" fillId="17" borderId="4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top" wrapText="1"/>
    </xf>
    <xf numFmtId="0" fontId="45" fillId="17" borderId="6" xfId="0" applyFont="1" applyFill="1" applyBorder="1" applyAlignment="1">
      <alignment horizontal="right" vertical="center" wrapText="1"/>
    </xf>
    <xf numFmtId="0" fontId="8" fillId="4" borderId="6" xfId="0" applyFont="1" applyFill="1" applyBorder="1"/>
    <xf numFmtId="0" fontId="10" fillId="4" borderId="2" xfId="0" applyFont="1" applyFill="1" applyBorder="1" applyAlignment="1">
      <alignment horizontal="right" vertical="center" wrapText="1"/>
    </xf>
    <xf numFmtId="0" fontId="10" fillId="9" borderId="3" xfId="0" applyFont="1" applyFill="1" applyBorder="1" applyAlignment="1">
      <alignment vertical="center" wrapText="1"/>
    </xf>
    <xf numFmtId="0" fontId="10" fillId="7" borderId="0" xfId="0" applyFont="1" applyFill="1"/>
    <xf numFmtId="0" fontId="8" fillId="7" borderId="1" xfId="0" applyFont="1" applyFill="1" applyBorder="1" applyAlignment="1">
      <alignment vertical="center" wrapText="1"/>
    </xf>
    <xf numFmtId="0" fontId="8" fillId="7" borderId="3" xfId="0" applyFont="1" applyFill="1" applyBorder="1"/>
    <xf numFmtId="0" fontId="8" fillId="4" borderId="4" xfId="0" applyFont="1" applyFill="1" applyBorder="1"/>
    <xf numFmtId="0" fontId="2" fillId="7" borderId="8" xfId="0" applyFont="1" applyFill="1" applyBorder="1" applyAlignment="1">
      <alignment vertical="center" wrapText="1"/>
    </xf>
    <xf numFmtId="0" fontId="0" fillId="0" borderId="8" xfId="0" applyBorder="1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0" fillId="0" borderId="0" xfId="0"/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0" fillId="7" borderId="7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horizontal="left"/>
    </xf>
    <xf numFmtId="0" fontId="6" fillId="18" borderId="1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15" fillId="16" borderId="7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45" fillId="12" borderId="7" xfId="0" applyFont="1" applyFill="1" applyBorder="1" applyAlignment="1">
      <alignment vertical="center" wrapText="1"/>
    </xf>
    <xf numFmtId="0" fontId="45" fillId="12" borderId="3" xfId="0" applyFont="1" applyFill="1" applyBorder="1" applyAlignment="1">
      <alignment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/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42" fillId="15" borderId="11" xfId="0" applyFont="1" applyFill="1" applyBorder="1" applyAlignment="1">
      <alignment horizontal="left" vertical="center"/>
    </xf>
    <xf numFmtId="0" fontId="42" fillId="15" borderId="12" xfId="0" applyFont="1" applyFill="1" applyBorder="1" applyAlignment="1">
      <alignment horizontal="left" vertical="center"/>
    </xf>
    <xf numFmtId="0" fontId="42" fillId="15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15" fillId="16" borderId="6" xfId="0" applyFont="1" applyFill="1" applyBorder="1" applyAlignment="1">
      <alignment vertical="center" wrapText="1"/>
    </xf>
    <xf numFmtId="0" fontId="15" fillId="16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vertical="center"/>
    </xf>
    <xf numFmtId="0" fontId="5" fillId="19" borderId="12" xfId="0" applyFont="1" applyFill="1" applyBorder="1"/>
    <xf numFmtId="0" fontId="5" fillId="19" borderId="2" xfId="0" applyFont="1" applyFill="1" applyBorder="1"/>
    <xf numFmtId="0" fontId="2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6" fillId="7" borderId="0" xfId="0" applyFont="1" applyFill="1"/>
    <xf numFmtId="0" fontId="0" fillId="0" borderId="9" xfId="0" applyBorder="1"/>
    <xf numFmtId="0" fontId="35" fillId="3" borderId="9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35" fillId="3" borderId="6" xfId="0" applyFont="1" applyFill="1" applyBorder="1" applyAlignment="1">
      <alignment horizontal="left" vertical="center"/>
    </xf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56" fillId="3" borderId="9" xfId="0" applyFont="1" applyFill="1" applyBorder="1" applyAlignment="1">
      <alignment horizontal="left" vertical="center"/>
    </xf>
    <xf numFmtId="0" fontId="56" fillId="3" borderId="8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48" fillId="0" borderId="13" xfId="0" applyFont="1" applyBorder="1"/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vertical="center" wrapText="1"/>
    </xf>
    <xf numFmtId="0" fontId="62" fillId="9" borderId="11" xfId="0" applyFont="1" applyFill="1" applyBorder="1" applyAlignment="1">
      <alignment vertical="center" wrapText="1"/>
    </xf>
    <xf numFmtId="0" fontId="63" fillId="0" borderId="2" xfId="0" applyFont="1" applyBorder="1" applyAlignment="1">
      <alignment vertical="center" wrapText="1"/>
    </xf>
    <xf numFmtId="0" fontId="10" fillId="7" borderId="0" xfId="0" applyFont="1" applyFill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8626</xdr:rowOff>
    </xdr:from>
    <xdr:to>
      <xdr:col>2</xdr:col>
      <xdr:colOff>56898</xdr:colOff>
      <xdr:row>119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A05EA-3E54-45FA-867D-6CE04A29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81366"/>
          <a:ext cx="1445751" cy="1433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2</xdr:col>
      <xdr:colOff>74151</xdr:colOff>
      <xdr:row>119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4715E-C2BA-45A4-8249-91898C2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94174"/>
          <a:ext cx="1445751" cy="14332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458</xdr:row>
      <xdr:rowOff>0</xdr:rowOff>
    </xdr:from>
    <xdr:to>
      <xdr:col>0</xdr:col>
      <xdr:colOff>1445751</xdr:colOff>
      <xdr:row>465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135B0-86A3-46E6-BCBB-49C3126C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756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19</xdr:col>
      <xdr:colOff>220800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025844-099A-403E-BE5B-9490C6CA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17" y="0"/>
          <a:ext cx="1445751" cy="14332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511</xdr:row>
      <xdr:rowOff>0</xdr:rowOff>
    </xdr:from>
    <xdr:to>
      <xdr:col>1</xdr:col>
      <xdr:colOff>22393</xdr:colOff>
      <xdr:row>518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FDCDD-5560-45B0-9B23-7A4F49E4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9594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203548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6B8AB-0DAB-4CD0-AA84-FB5C26CD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026" y="0"/>
          <a:ext cx="1445751" cy="1433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8626</xdr:rowOff>
    </xdr:from>
    <xdr:to>
      <xdr:col>2</xdr:col>
      <xdr:colOff>56898</xdr:colOff>
      <xdr:row>125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F4BA9-D620-479A-9341-40B0D66F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1445751" cy="1433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25879</xdr:rowOff>
    </xdr:from>
    <xdr:to>
      <xdr:col>2</xdr:col>
      <xdr:colOff>56898</xdr:colOff>
      <xdr:row>108</xdr:row>
      <xdr:rowOff>9931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F4123-1436-4E7F-9AED-0A1478CA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96626"/>
          <a:ext cx="1445751" cy="1433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2</xdr:col>
      <xdr:colOff>56898</xdr:colOff>
      <xdr:row>115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F57C5-3DDB-4362-A31C-4B2A9073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9109"/>
          <a:ext cx="1445751" cy="1433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2</xdr:col>
      <xdr:colOff>56898</xdr:colOff>
      <xdr:row>115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52A4F-5DA0-4FA3-AF28-6A9EFE03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01864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2</xdr:col>
      <xdr:colOff>56898</xdr:colOff>
      <xdr:row>113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34962-CBF2-4755-87A2-342593F7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85547"/>
          <a:ext cx="1445751" cy="1433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</xdr:col>
      <xdr:colOff>186294</xdr:colOff>
      <xdr:row>109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0FEA7-CB80-4415-843D-E21289CE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1736"/>
          <a:ext cx="1445751" cy="1433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17253</xdr:rowOff>
    </xdr:from>
    <xdr:to>
      <xdr:col>2</xdr:col>
      <xdr:colOff>39645</xdr:colOff>
      <xdr:row>108</xdr:row>
      <xdr:rowOff>1306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2ECA9-FD67-4399-B871-B61765CD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36242"/>
          <a:ext cx="1445751" cy="1433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1</xdr:col>
      <xdr:colOff>177668</xdr:colOff>
      <xdr:row>107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5BD3E-8E22-4FF9-B877-50C43CB8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99547"/>
          <a:ext cx="1445751" cy="1433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2"/>
  <sheetViews>
    <sheetView zoomScaleNormal="100" workbookViewId="0">
      <selection activeCell="R20" sqref="R20:T21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  <col min="53" max="61" width="5.625" customWidth="1"/>
  </cols>
  <sheetData>
    <row r="1" spans="1:69" ht="16.149999999999999" customHeight="1" thickBot="1" x14ac:dyDescent="0.35">
      <c r="A1" s="489" t="s">
        <v>994</v>
      </c>
      <c r="B1" s="490"/>
      <c r="C1" s="490"/>
      <c r="D1" s="490"/>
      <c r="E1" s="490"/>
      <c r="F1" s="490"/>
      <c r="G1" s="490"/>
      <c r="H1" s="490"/>
      <c r="I1" s="490"/>
      <c r="J1" s="491"/>
      <c r="K1" s="494" t="s">
        <v>194</v>
      </c>
      <c r="L1" s="481" t="s">
        <v>14</v>
      </c>
      <c r="M1" s="482"/>
      <c r="N1" s="483"/>
      <c r="O1" s="481" t="s">
        <v>38</v>
      </c>
      <c r="P1" s="482"/>
      <c r="Q1" s="483"/>
      <c r="R1" s="481" t="s">
        <v>193</v>
      </c>
      <c r="S1" s="483"/>
      <c r="T1" s="457" t="s">
        <v>234</v>
      </c>
      <c r="U1" s="472"/>
      <c r="V1" s="473"/>
      <c r="W1" s="465" t="s">
        <v>903</v>
      </c>
      <c r="X1" s="466"/>
      <c r="Y1" s="467"/>
      <c r="Z1" s="164"/>
      <c r="AA1" s="85"/>
      <c r="AB1" s="253"/>
      <c r="AC1" s="465" t="s">
        <v>601</v>
      </c>
      <c r="AD1" s="466"/>
      <c r="AE1" s="467"/>
      <c r="AF1" s="465" t="s">
        <v>494</v>
      </c>
      <c r="AG1" s="466"/>
      <c r="AH1" s="467"/>
      <c r="AI1" s="465" t="s">
        <v>407</v>
      </c>
      <c r="AJ1" s="466"/>
      <c r="AK1" s="467"/>
      <c r="AL1" s="465" t="s">
        <v>313</v>
      </c>
      <c r="AM1" s="466"/>
      <c r="AN1" s="467"/>
      <c r="AO1" s="465" t="s">
        <v>227</v>
      </c>
      <c r="AP1" s="466"/>
      <c r="AQ1" s="467"/>
      <c r="AR1" s="465" t="s">
        <v>172</v>
      </c>
      <c r="AS1" s="466"/>
      <c r="AT1" s="467"/>
      <c r="AU1" s="465" t="s">
        <v>79</v>
      </c>
      <c r="AV1" s="466"/>
      <c r="AW1" s="467"/>
      <c r="AX1" s="465" t="s">
        <v>54</v>
      </c>
      <c r="AY1" s="466"/>
      <c r="AZ1" s="467"/>
      <c r="BA1" s="465" t="s">
        <v>50</v>
      </c>
      <c r="BB1" s="466"/>
      <c r="BC1" s="467"/>
      <c r="BD1" s="465" t="s">
        <v>37</v>
      </c>
      <c r="BE1" s="466"/>
      <c r="BF1" s="467"/>
      <c r="BG1" s="465" t="s">
        <v>45</v>
      </c>
      <c r="BH1" s="466"/>
      <c r="BI1" s="467"/>
      <c r="BJ1" s="85"/>
      <c r="BK1" s="4"/>
      <c r="BL1" s="4"/>
      <c r="BM1" s="4"/>
      <c r="BO1" s="4"/>
    </row>
    <row r="2" spans="1:69" ht="14.95" customHeight="1" thickBot="1" x14ac:dyDescent="0.3">
      <c r="A2" s="341" t="s">
        <v>0</v>
      </c>
      <c r="B2" s="342" t="s">
        <v>226</v>
      </c>
      <c r="C2" s="343" t="s">
        <v>30</v>
      </c>
      <c r="D2" s="344" t="s">
        <v>339</v>
      </c>
      <c r="E2" s="345" t="s">
        <v>1</v>
      </c>
      <c r="F2" s="180" t="s">
        <v>2</v>
      </c>
      <c r="G2" s="109" t="s">
        <v>226</v>
      </c>
      <c r="H2" s="324" t="s">
        <v>30</v>
      </c>
      <c r="I2" s="225" t="s">
        <v>339</v>
      </c>
      <c r="J2" s="203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74"/>
      <c r="U2" s="475"/>
      <c r="V2" s="476"/>
      <c r="W2" s="468"/>
      <c r="X2" s="469"/>
      <c r="Y2" s="470"/>
      <c r="Z2" s="164"/>
      <c r="AA2" s="85"/>
      <c r="AB2" s="253"/>
      <c r="AC2" s="468"/>
      <c r="AD2" s="469"/>
      <c r="AE2" s="470"/>
      <c r="AF2" s="468"/>
      <c r="AG2" s="469"/>
      <c r="AH2" s="470"/>
      <c r="AI2" s="468"/>
      <c r="AJ2" s="469"/>
      <c r="AK2" s="470"/>
      <c r="AL2" s="468"/>
      <c r="AM2" s="469"/>
      <c r="AN2" s="470"/>
      <c r="AO2" s="468"/>
      <c r="AP2" s="469"/>
      <c r="AQ2" s="470"/>
      <c r="AR2" s="468"/>
      <c r="AS2" s="469"/>
      <c r="AT2" s="470"/>
      <c r="AU2" s="468"/>
      <c r="AV2" s="469"/>
      <c r="AW2" s="470"/>
      <c r="AX2" s="468"/>
      <c r="AY2" s="469"/>
      <c r="AZ2" s="470"/>
      <c r="BA2" s="468"/>
      <c r="BB2" s="469"/>
      <c r="BC2" s="470"/>
      <c r="BD2" s="468"/>
      <c r="BE2" s="469"/>
      <c r="BF2" s="470"/>
      <c r="BG2" s="468"/>
      <c r="BH2" s="469"/>
      <c r="BI2" s="470"/>
      <c r="BJ2" s="85"/>
      <c r="BO2" s="4"/>
      <c r="BP2" s="4"/>
      <c r="BQ2" s="4"/>
    </row>
    <row r="3" spans="1:69" ht="14.95" customHeight="1" thickBot="1" x14ac:dyDescent="0.3">
      <c r="A3" s="346" t="s">
        <v>997</v>
      </c>
      <c r="B3" s="347">
        <v>6</v>
      </c>
      <c r="C3" s="348">
        <v>2</v>
      </c>
      <c r="D3" s="349">
        <v>0</v>
      </c>
      <c r="E3" s="350">
        <f t="shared" ref="E3:E34" si="0">SUM(B3:D3)</f>
        <v>8</v>
      </c>
      <c r="F3" s="181" t="s">
        <v>997</v>
      </c>
      <c r="G3" s="78">
        <v>30</v>
      </c>
      <c r="H3" s="325">
        <v>10</v>
      </c>
      <c r="I3" s="226">
        <v>0</v>
      </c>
      <c r="J3" s="204">
        <f t="shared" ref="J3:J34" si="1">SUM(G3:I3)</f>
        <v>40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9" t="s">
        <v>46</v>
      </c>
      <c r="U3" s="79" t="s">
        <v>9</v>
      </c>
      <c r="V3" s="79" t="s">
        <v>10</v>
      </c>
      <c r="W3" s="79" t="s">
        <v>46</v>
      </c>
      <c r="X3" s="79" t="s">
        <v>9</v>
      </c>
      <c r="Y3" s="79" t="s">
        <v>10</v>
      </c>
      <c r="Z3" s="93"/>
      <c r="AA3" s="94"/>
      <c r="AB3" s="197"/>
      <c r="AC3" s="79" t="s">
        <v>46</v>
      </c>
      <c r="AD3" s="79" t="s">
        <v>9</v>
      </c>
      <c r="AE3" s="79" t="s">
        <v>10</v>
      </c>
      <c r="AF3" s="79" t="s">
        <v>46</v>
      </c>
      <c r="AG3" s="79" t="s">
        <v>9</v>
      </c>
      <c r="AH3" s="79" t="s">
        <v>10</v>
      </c>
      <c r="AI3" s="84" t="s">
        <v>46</v>
      </c>
      <c r="AJ3" s="79" t="s">
        <v>9</v>
      </c>
      <c r="AK3" s="79" t="s">
        <v>10</v>
      </c>
      <c r="AL3" s="84" t="s">
        <v>46</v>
      </c>
      <c r="AM3" s="79" t="s">
        <v>9</v>
      </c>
      <c r="AN3" s="79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  <c r="BD3" s="79" t="s">
        <v>46</v>
      </c>
      <c r="BE3" s="79" t="s">
        <v>9</v>
      </c>
      <c r="BF3" s="79" t="s">
        <v>10</v>
      </c>
      <c r="BG3" s="79" t="s">
        <v>46</v>
      </c>
      <c r="BH3" s="79" t="s">
        <v>9</v>
      </c>
      <c r="BI3" s="79" t="s">
        <v>10</v>
      </c>
      <c r="BJ3" s="45"/>
      <c r="BK3" s="4"/>
      <c r="BL3" s="4"/>
      <c r="BM3" s="4"/>
    </row>
    <row r="4" spans="1:69" ht="14.95" customHeight="1" thickBot="1" x14ac:dyDescent="0.3">
      <c r="A4" s="346" t="s">
        <v>520</v>
      </c>
      <c r="B4" s="347">
        <v>1</v>
      </c>
      <c r="C4" s="348">
        <v>0</v>
      </c>
      <c r="D4" s="349">
        <v>0</v>
      </c>
      <c r="E4" s="350">
        <f t="shared" si="0"/>
        <v>1</v>
      </c>
      <c r="F4" s="181" t="s">
        <v>520</v>
      </c>
      <c r="G4" s="78">
        <v>5</v>
      </c>
      <c r="H4" s="325">
        <v>0</v>
      </c>
      <c r="I4" s="226">
        <v>0</v>
      </c>
      <c r="J4" s="204">
        <f t="shared" si="1"/>
        <v>5</v>
      </c>
      <c r="K4" s="351" t="s">
        <v>1005</v>
      </c>
      <c r="L4" s="352">
        <v>5</v>
      </c>
      <c r="M4" s="352">
        <v>8</v>
      </c>
      <c r="N4" s="353">
        <f t="shared" ref="N4" si="2">SUM(L4/M4)*100</f>
        <v>62.5</v>
      </c>
      <c r="O4" s="352" t="s">
        <v>15</v>
      </c>
      <c r="P4" s="352" t="s">
        <v>15</v>
      </c>
      <c r="Q4" s="353" t="s">
        <v>15</v>
      </c>
      <c r="R4" s="354">
        <v>1</v>
      </c>
      <c r="S4" s="355">
        <v>1</v>
      </c>
      <c r="T4" s="7">
        <v>44</v>
      </c>
      <c r="U4" s="7">
        <v>62</v>
      </c>
      <c r="V4" s="153">
        <v>70.967741935483872</v>
      </c>
      <c r="W4" s="7">
        <v>19</v>
      </c>
      <c r="X4" s="7">
        <v>22</v>
      </c>
      <c r="Y4" s="153">
        <v>86.36363636363636</v>
      </c>
      <c r="Z4" s="93"/>
      <c r="AA4" s="94"/>
      <c r="AB4" s="197"/>
      <c r="AC4" s="7">
        <v>22</v>
      </c>
      <c r="AD4" s="7">
        <v>32</v>
      </c>
      <c r="AE4" s="153">
        <v>68.75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84" t="s">
        <v>15</v>
      </c>
      <c r="AM4" s="79" t="s">
        <v>15</v>
      </c>
      <c r="AN4" s="171" t="s">
        <v>15</v>
      </c>
      <c r="AO4" s="148" t="s">
        <v>15</v>
      </c>
      <c r="AP4" s="7" t="s">
        <v>15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s="6" t="s">
        <v>15</v>
      </c>
      <c r="BH4" s="152" t="s">
        <v>15</v>
      </c>
      <c r="BI4" s="152" t="s">
        <v>15</v>
      </c>
      <c r="BJ4" s="82"/>
    </row>
    <row r="5" spans="1:69" ht="14.95" customHeight="1" thickBot="1" x14ac:dyDescent="0.3">
      <c r="A5" s="346" t="s">
        <v>77</v>
      </c>
      <c r="B5" s="347">
        <v>0</v>
      </c>
      <c r="C5" s="348">
        <v>0</v>
      </c>
      <c r="D5" s="349">
        <v>0</v>
      </c>
      <c r="E5" s="350">
        <f t="shared" si="0"/>
        <v>0</v>
      </c>
      <c r="F5" s="182" t="s">
        <v>77</v>
      </c>
      <c r="G5" s="78">
        <v>0</v>
      </c>
      <c r="H5" s="325">
        <v>0</v>
      </c>
      <c r="I5" s="226">
        <v>0</v>
      </c>
      <c r="J5" s="204">
        <f t="shared" si="1"/>
        <v>0</v>
      </c>
      <c r="K5" s="346" t="s">
        <v>1041</v>
      </c>
      <c r="L5" s="352">
        <v>1</v>
      </c>
      <c r="M5" s="352">
        <v>1</v>
      </c>
      <c r="N5" s="353">
        <f t="shared" ref="N5" si="3">SUM(L5/M5)*100</f>
        <v>100</v>
      </c>
      <c r="O5" s="352" t="s">
        <v>15</v>
      </c>
      <c r="P5" s="352" t="s">
        <v>15</v>
      </c>
      <c r="Q5" s="353" t="s">
        <v>15</v>
      </c>
      <c r="R5" s="352">
        <v>1</v>
      </c>
      <c r="S5" s="352">
        <v>-4</v>
      </c>
      <c r="T5" s="7">
        <v>0</v>
      </c>
      <c r="U5" s="7">
        <v>1</v>
      </c>
      <c r="V5" s="7">
        <v>0</v>
      </c>
      <c r="W5" s="7" t="s">
        <v>15</v>
      </c>
      <c r="X5" s="7" t="s">
        <v>15</v>
      </c>
      <c r="Y5" s="7" t="s">
        <v>15</v>
      </c>
      <c r="Z5" s="93"/>
      <c r="AA5" s="94"/>
      <c r="AB5" s="197"/>
      <c r="AC5" s="7" t="s">
        <v>15</v>
      </c>
      <c r="AD5" s="7" t="s">
        <v>15</v>
      </c>
      <c r="AE5" s="7" t="s">
        <v>15</v>
      </c>
      <c r="AF5" s="7">
        <v>2</v>
      </c>
      <c r="AG5" s="7">
        <v>2</v>
      </c>
      <c r="AH5" s="7">
        <v>100</v>
      </c>
      <c r="AI5" s="148" t="s">
        <v>15</v>
      </c>
      <c r="AJ5" s="7" t="s">
        <v>15</v>
      </c>
      <c r="AK5" s="153" t="s">
        <v>15</v>
      </c>
      <c r="AL5" s="84" t="s">
        <v>15</v>
      </c>
      <c r="AM5" s="79" t="s">
        <v>15</v>
      </c>
      <c r="AN5" s="171" t="s">
        <v>15</v>
      </c>
      <c r="AO5" s="7" t="s">
        <v>15</v>
      </c>
      <c r="AP5" s="7" t="s">
        <v>15</v>
      </c>
      <c r="AQ5" s="153" t="s">
        <v>15</v>
      </c>
      <c r="AR5" s="84" t="s">
        <v>15</v>
      </c>
      <c r="AS5" s="79" t="s">
        <v>15</v>
      </c>
      <c r="AT5" s="171" t="s">
        <v>15</v>
      </c>
      <c r="AU5" s="7" t="s">
        <v>15</v>
      </c>
      <c r="AV5" s="7" t="s">
        <v>15</v>
      </c>
      <c r="AW5" s="7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  <c r="BJ5" s="83"/>
      <c r="BO5" s="4"/>
      <c r="BP5" s="4"/>
      <c r="BQ5" s="4"/>
    </row>
    <row r="6" spans="1:69" ht="14.95" customHeight="1" thickBot="1" x14ac:dyDescent="0.3">
      <c r="A6" s="346" t="s">
        <v>311</v>
      </c>
      <c r="B6" s="347">
        <v>2</v>
      </c>
      <c r="C6" s="348">
        <v>0</v>
      </c>
      <c r="D6" s="349">
        <v>2</v>
      </c>
      <c r="E6" s="350">
        <f t="shared" si="0"/>
        <v>4</v>
      </c>
      <c r="F6" s="182" t="s">
        <v>311</v>
      </c>
      <c r="G6" s="78">
        <v>10</v>
      </c>
      <c r="H6" s="325">
        <v>0</v>
      </c>
      <c r="I6" s="226">
        <v>10</v>
      </c>
      <c r="J6" s="204">
        <f t="shared" si="1"/>
        <v>20</v>
      </c>
      <c r="K6" s="346" t="s">
        <v>465</v>
      </c>
      <c r="L6" s="352" t="s">
        <v>15</v>
      </c>
      <c r="M6" s="352" t="s">
        <v>15</v>
      </c>
      <c r="N6" s="353" t="s">
        <v>15</v>
      </c>
      <c r="O6" s="352" t="s">
        <v>15</v>
      </c>
      <c r="P6" s="352" t="s">
        <v>15</v>
      </c>
      <c r="Q6" s="353" t="s">
        <v>15</v>
      </c>
      <c r="R6" s="352">
        <v>-1</v>
      </c>
      <c r="S6" s="352">
        <v>-1</v>
      </c>
      <c r="T6" s="148" t="s">
        <v>15</v>
      </c>
      <c r="U6" s="7" t="s">
        <v>15</v>
      </c>
      <c r="V6" s="153" t="s">
        <v>15</v>
      </c>
      <c r="W6" s="148">
        <v>1</v>
      </c>
      <c r="X6" s="7">
        <v>2</v>
      </c>
      <c r="Y6" s="153">
        <v>50</v>
      </c>
      <c r="Z6" s="93"/>
      <c r="AA6" s="94"/>
      <c r="AB6" s="197"/>
      <c r="AC6" s="148" t="s">
        <v>15</v>
      </c>
      <c r="AD6" s="7" t="s">
        <v>15</v>
      </c>
      <c r="AE6" s="153" t="s">
        <v>15</v>
      </c>
      <c r="AF6" s="148" t="s">
        <v>15</v>
      </c>
      <c r="AG6" s="7" t="s">
        <v>15</v>
      </c>
      <c r="AH6" s="153" t="s">
        <v>15</v>
      </c>
      <c r="AI6" s="148" t="s">
        <v>15</v>
      </c>
      <c r="AJ6" s="7" t="s">
        <v>15</v>
      </c>
      <c r="AK6" s="153" t="s">
        <v>15</v>
      </c>
      <c r="AL6" s="148" t="s">
        <v>15</v>
      </c>
      <c r="AM6" s="7" t="s">
        <v>15</v>
      </c>
      <c r="AN6" s="153" t="s">
        <v>15</v>
      </c>
      <c r="AO6" s="148" t="s">
        <v>15</v>
      </c>
      <c r="AP6" s="7" t="s">
        <v>15</v>
      </c>
      <c r="AQ6" s="153" t="s">
        <v>15</v>
      </c>
      <c r="AR6" s="148" t="s">
        <v>15</v>
      </c>
      <c r="AS6" s="7" t="s">
        <v>15</v>
      </c>
      <c r="AT6" s="153" t="s">
        <v>15</v>
      </c>
      <c r="AU6" s="148" t="s">
        <v>15</v>
      </c>
      <c r="AV6" s="7" t="s">
        <v>15</v>
      </c>
      <c r="AW6" s="153" t="s">
        <v>15</v>
      </c>
      <c r="AX6" s="148" t="s">
        <v>15</v>
      </c>
      <c r="AY6" s="7" t="s">
        <v>15</v>
      </c>
      <c r="AZ6" s="153" t="s">
        <v>15</v>
      </c>
      <c r="BA6" s="148" t="s">
        <v>15</v>
      </c>
      <c r="BB6" s="7" t="s">
        <v>15</v>
      </c>
      <c r="BC6" s="153" t="s">
        <v>15</v>
      </c>
      <c r="BD6" s="148" t="s">
        <v>15</v>
      </c>
      <c r="BE6" s="7" t="s">
        <v>15</v>
      </c>
      <c r="BF6" s="153" t="s">
        <v>15</v>
      </c>
      <c r="BG6" s="148" t="s">
        <v>15</v>
      </c>
      <c r="BH6" s="7" t="s">
        <v>15</v>
      </c>
      <c r="BI6" s="153" t="s">
        <v>15</v>
      </c>
      <c r="BJ6" s="83"/>
    </row>
    <row r="7" spans="1:69" ht="14.95" customHeight="1" thickBot="1" x14ac:dyDescent="0.3">
      <c r="A7" s="346" t="s">
        <v>279</v>
      </c>
      <c r="B7" s="347">
        <v>1</v>
      </c>
      <c r="C7" s="348">
        <v>1</v>
      </c>
      <c r="D7" s="349">
        <v>0</v>
      </c>
      <c r="E7" s="350">
        <f t="shared" si="0"/>
        <v>2</v>
      </c>
      <c r="F7" s="182" t="s">
        <v>279</v>
      </c>
      <c r="G7" s="78">
        <v>15</v>
      </c>
      <c r="H7" s="325">
        <v>5</v>
      </c>
      <c r="I7" s="226">
        <v>0</v>
      </c>
      <c r="J7" s="204">
        <f t="shared" si="1"/>
        <v>20</v>
      </c>
      <c r="K7" s="346" t="s">
        <v>860</v>
      </c>
      <c r="L7" s="352" t="s">
        <v>15</v>
      </c>
      <c r="M7" s="352" t="s">
        <v>15</v>
      </c>
      <c r="N7" s="353" t="s">
        <v>15</v>
      </c>
      <c r="O7" s="352" t="s">
        <v>15</v>
      </c>
      <c r="P7" s="352" t="s">
        <v>15</v>
      </c>
      <c r="Q7" s="353" t="s">
        <v>15</v>
      </c>
      <c r="R7" s="352">
        <v>7</v>
      </c>
      <c r="S7" s="352">
        <v>14</v>
      </c>
      <c r="T7" s="7">
        <v>7</v>
      </c>
      <c r="U7" s="7">
        <v>7</v>
      </c>
      <c r="V7" s="7">
        <v>100</v>
      </c>
      <c r="W7" s="7" t="s">
        <v>15</v>
      </c>
      <c r="X7" s="7" t="s">
        <v>15</v>
      </c>
      <c r="Y7" s="7" t="s">
        <v>15</v>
      </c>
      <c r="Z7" s="93"/>
      <c r="AA7" s="94"/>
      <c r="AB7" s="197"/>
      <c r="AC7" s="7" t="s">
        <v>15</v>
      </c>
      <c r="AD7" s="7" t="s">
        <v>15</v>
      </c>
      <c r="AE7" s="7" t="s">
        <v>15</v>
      </c>
      <c r="AF7" s="148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 t="s">
        <v>15</v>
      </c>
      <c r="AP7" s="7" t="s">
        <v>15</v>
      </c>
      <c r="AQ7" s="153" t="s">
        <v>15</v>
      </c>
      <c r="AR7" s="148" t="s">
        <v>15</v>
      </c>
      <c r="AS7" s="7" t="s">
        <v>15</v>
      </c>
      <c r="AT7" s="153" t="s">
        <v>15</v>
      </c>
      <c r="AU7" s="148" t="s">
        <v>15</v>
      </c>
      <c r="AV7" s="7" t="s">
        <v>15</v>
      </c>
      <c r="AW7" s="153" t="s">
        <v>15</v>
      </c>
      <c r="AX7" s="148" t="s">
        <v>15</v>
      </c>
      <c r="AY7" s="7" t="s">
        <v>15</v>
      </c>
      <c r="AZ7" s="153" t="s">
        <v>15</v>
      </c>
      <c r="BA7" s="148" t="s">
        <v>15</v>
      </c>
      <c r="BB7" s="7" t="s">
        <v>15</v>
      </c>
      <c r="BC7" s="153" t="s">
        <v>15</v>
      </c>
      <c r="BD7" s="148" t="s">
        <v>15</v>
      </c>
      <c r="BE7" s="7" t="s">
        <v>15</v>
      </c>
      <c r="BF7" s="153" t="s">
        <v>15</v>
      </c>
      <c r="BG7" s="148" t="s">
        <v>15</v>
      </c>
      <c r="BH7" s="7" t="s">
        <v>15</v>
      </c>
      <c r="BI7" s="153" t="s">
        <v>15</v>
      </c>
      <c r="BJ7" s="83"/>
    </row>
    <row r="8" spans="1:69" ht="14.95" customHeight="1" thickBot="1" x14ac:dyDescent="0.3">
      <c r="A8" s="346" t="s">
        <v>463</v>
      </c>
      <c r="B8" s="347">
        <v>0</v>
      </c>
      <c r="C8" s="348">
        <v>1</v>
      </c>
      <c r="D8" s="349">
        <v>0</v>
      </c>
      <c r="E8" s="350">
        <f t="shared" si="0"/>
        <v>1</v>
      </c>
      <c r="F8" s="182" t="s">
        <v>463</v>
      </c>
      <c r="G8" s="78">
        <v>0</v>
      </c>
      <c r="H8" s="325">
        <v>5</v>
      </c>
      <c r="I8" s="226">
        <v>0</v>
      </c>
      <c r="J8" s="204">
        <f t="shared" si="1"/>
        <v>5</v>
      </c>
      <c r="K8" s="346" t="s">
        <v>1003</v>
      </c>
      <c r="L8" s="352" t="s">
        <v>15</v>
      </c>
      <c r="M8" s="352" t="s">
        <v>15</v>
      </c>
      <c r="N8" s="353" t="s">
        <v>15</v>
      </c>
      <c r="O8" s="352" t="s">
        <v>15</v>
      </c>
      <c r="P8" s="352" t="s">
        <v>15</v>
      </c>
      <c r="Q8" s="353" t="s">
        <v>15</v>
      </c>
      <c r="R8" s="352" t="s">
        <v>19</v>
      </c>
      <c r="S8" s="352">
        <v>-3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3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 t="s">
        <v>15</v>
      </c>
      <c r="AP8" s="7" t="s">
        <v>15</v>
      </c>
      <c r="AQ8" s="153" t="s">
        <v>15</v>
      </c>
      <c r="AR8" s="148" t="s">
        <v>15</v>
      </c>
      <c r="AS8" s="7" t="s">
        <v>15</v>
      </c>
      <c r="AT8" s="153" t="s">
        <v>15</v>
      </c>
      <c r="AU8" s="148" t="s">
        <v>15</v>
      </c>
      <c r="AV8" s="7" t="s">
        <v>15</v>
      </c>
      <c r="AW8" s="153" t="s">
        <v>15</v>
      </c>
      <c r="AX8" s="148" t="s">
        <v>15</v>
      </c>
      <c r="AY8" s="7" t="s">
        <v>15</v>
      </c>
      <c r="AZ8" s="153" t="s">
        <v>15</v>
      </c>
      <c r="BA8" s="148" t="s">
        <v>15</v>
      </c>
      <c r="BB8" s="7" t="s">
        <v>15</v>
      </c>
      <c r="BC8" s="153" t="s">
        <v>15</v>
      </c>
      <c r="BD8" s="148" t="s">
        <v>15</v>
      </c>
      <c r="BE8" s="7" t="s">
        <v>15</v>
      </c>
      <c r="BF8" s="153" t="s">
        <v>15</v>
      </c>
      <c r="BG8" s="148" t="s">
        <v>15</v>
      </c>
      <c r="BH8" s="7" t="s">
        <v>15</v>
      </c>
      <c r="BI8" s="153" t="s">
        <v>15</v>
      </c>
    </row>
    <row r="9" spans="1:69" ht="14.95" customHeight="1" thickBot="1" x14ac:dyDescent="0.3">
      <c r="A9" s="346" t="s">
        <v>65</v>
      </c>
      <c r="B9" s="347">
        <v>1</v>
      </c>
      <c r="C9" s="348">
        <v>2</v>
      </c>
      <c r="D9" s="349">
        <v>0</v>
      </c>
      <c r="E9" s="350">
        <f t="shared" si="0"/>
        <v>3</v>
      </c>
      <c r="F9" s="182" t="s">
        <v>65</v>
      </c>
      <c r="G9" s="78">
        <v>5</v>
      </c>
      <c r="H9" s="325">
        <v>10</v>
      </c>
      <c r="I9" s="226">
        <v>0</v>
      </c>
      <c r="J9" s="204">
        <f t="shared" si="1"/>
        <v>15</v>
      </c>
      <c r="K9" s="346" t="s">
        <v>314</v>
      </c>
      <c r="L9" s="352" t="s">
        <v>15</v>
      </c>
      <c r="M9" s="352" t="s">
        <v>15</v>
      </c>
      <c r="N9" s="353" t="s">
        <v>15</v>
      </c>
      <c r="O9" s="352" t="s">
        <v>15</v>
      </c>
      <c r="P9" s="352" t="s">
        <v>15</v>
      </c>
      <c r="Q9" s="353" t="s">
        <v>15</v>
      </c>
      <c r="R9" s="352">
        <v>-1</v>
      </c>
      <c r="S9" s="352">
        <v>-1</v>
      </c>
      <c r="T9" s="148" t="s">
        <v>15</v>
      </c>
      <c r="U9" s="7" t="s">
        <v>15</v>
      </c>
      <c r="V9" s="153" t="s">
        <v>15</v>
      </c>
      <c r="W9" s="148" t="s">
        <v>15</v>
      </c>
      <c r="X9" s="7" t="s">
        <v>15</v>
      </c>
      <c r="Y9" s="153" t="s">
        <v>15</v>
      </c>
      <c r="Z9" s="93"/>
      <c r="AA9" s="94"/>
      <c r="AB9" s="197"/>
      <c r="AC9" s="148" t="s">
        <v>15</v>
      </c>
      <c r="AD9" s="7" t="s">
        <v>15</v>
      </c>
      <c r="AE9" s="153" t="s">
        <v>15</v>
      </c>
      <c r="AF9" s="148" t="s">
        <v>15</v>
      </c>
      <c r="AG9" s="7" t="s">
        <v>15</v>
      </c>
      <c r="AH9" s="153" t="s">
        <v>15</v>
      </c>
      <c r="AI9" s="148" t="s">
        <v>15</v>
      </c>
      <c r="AJ9" s="7" t="s">
        <v>15</v>
      </c>
      <c r="AK9" s="153" t="s">
        <v>15</v>
      </c>
      <c r="AL9" s="84" t="s">
        <v>15</v>
      </c>
      <c r="AM9" s="79" t="s">
        <v>15</v>
      </c>
      <c r="AN9" s="171" t="s">
        <v>15</v>
      </c>
      <c r="AO9" s="148">
        <v>0</v>
      </c>
      <c r="AP9" s="7">
        <v>1</v>
      </c>
      <c r="AQ9" s="7">
        <v>0</v>
      </c>
      <c r="AR9" s="6" t="s">
        <v>15</v>
      </c>
      <c r="AS9" s="7" t="s">
        <v>15</v>
      </c>
      <c r="AT9" s="7" t="s">
        <v>15</v>
      </c>
      <c r="AU9" s="7" t="s">
        <v>15</v>
      </c>
      <c r="AV9" s="7" t="s">
        <v>15</v>
      </c>
      <c r="AW9" s="7" t="s">
        <v>15</v>
      </c>
      <c r="AX9" s="7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  <c r="BF9" s="7" t="s">
        <v>15</v>
      </c>
      <c r="BG9" s="7" t="s">
        <v>15</v>
      </c>
      <c r="BH9" s="7" t="s">
        <v>15</v>
      </c>
      <c r="BI9" s="7" t="s">
        <v>15</v>
      </c>
    </row>
    <row r="10" spans="1:69" ht="14.95" customHeight="1" thickBot="1" x14ac:dyDescent="0.3">
      <c r="A10" s="346" t="s">
        <v>549</v>
      </c>
      <c r="B10" s="347">
        <v>0</v>
      </c>
      <c r="C10" s="348">
        <v>0</v>
      </c>
      <c r="D10" s="349">
        <v>0</v>
      </c>
      <c r="E10" s="350">
        <f t="shared" si="0"/>
        <v>0</v>
      </c>
      <c r="F10" s="182" t="s">
        <v>549</v>
      </c>
      <c r="G10" s="78">
        <v>0</v>
      </c>
      <c r="H10" s="325">
        <v>0</v>
      </c>
      <c r="I10" s="226">
        <v>0</v>
      </c>
      <c r="J10" s="204">
        <f t="shared" si="1"/>
        <v>0</v>
      </c>
      <c r="K10" s="346" t="s">
        <v>523</v>
      </c>
      <c r="L10" s="352">
        <v>25</v>
      </c>
      <c r="M10" s="352">
        <v>30</v>
      </c>
      <c r="N10" s="353">
        <f t="shared" ref="N10" si="4">SUM(L10/M10)*100</f>
        <v>83.333333333333343</v>
      </c>
      <c r="O10" s="352">
        <v>8</v>
      </c>
      <c r="P10" s="352">
        <v>8</v>
      </c>
      <c r="Q10" s="353">
        <f t="shared" ref="Q10" si="5">SUM(O10/P10)*100</f>
        <v>100</v>
      </c>
      <c r="R10" s="352">
        <v>1</v>
      </c>
      <c r="S10" s="352">
        <v>11</v>
      </c>
      <c r="T10" s="7">
        <v>79</v>
      </c>
      <c r="U10" s="7">
        <v>100</v>
      </c>
      <c r="V10" s="153">
        <v>79</v>
      </c>
      <c r="W10" s="7">
        <v>64</v>
      </c>
      <c r="X10" s="7">
        <v>88</v>
      </c>
      <c r="Y10" s="153">
        <v>72.727272727272734</v>
      </c>
      <c r="Z10" s="93"/>
      <c r="AA10" s="94"/>
      <c r="AB10" s="197"/>
      <c r="AC10" s="7">
        <v>89</v>
      </c>
      <c r="AD10" s="7">
        <v>103</v>
      </c>
      <c r="AE10" s="153">
        <v>86</v>
      </c>
      <c r="AF10" s="7">
        <v>1</v>
      </c>
      <c r="AG10" s="7">
        <v>3</v>
      </c>
      <c r="AH10" s="153">
        <v>33</v>
      </c>
      <c r="AI10" s="148">
        <v>4</v>
      </c>
      <c r="AJ10" s="7">
        <v>6</v>
      </c>
      <c r="AK10" s="153">
        <f t="shared" ref="AK10" si="6">SUM(AI10/AJ10)*100</f>
        <v>66.666666666666657</v>
      </c>
      <c r="AL10" s="148">
        <v>0</v>
      </c>
      <c r="AM10" s="7">
        <v>1</v>
      </c>
      <c r="AN10" s="153">
        <f t="shared" ref="AN10" si="7">SUM(AL10/AM10)*100</f>
        <v>0</v>
      </c>
      <c r="AO10" s="148">
        <v>38</v>
      </c>
      <c r="AP10" s="7">
        <v>49</v>
      </c>
      <c r="AQ10" s="153">
        <f t="shared" ref="AQ10" si="8">SUM(AO10/AP10)*100</f>
        <v>77.551020408163268</v>
      </c>
      <c r="AR10" s="148">
        <v>34</v>
      </c>
      <c r="AS10" s="7">
        <v>42</v>
      </c>
      <c r="AT10" s="153">
        <f t="shared" ref="AT10" si="9">SUM(AR10/AS10)*100</f>
        <v>80.952380952380949</v>
      </c>
      <c r="AU10" s="148">
        <v>31</v>
      </c>
      <c r="AV10" s="7">
        <v>38</v>
      </c>
      <c r="AW10" s="153">
        <v>81.578947368421055</v>
      </c>
      <c r="AX10" s="331">
        <v>25</v>
      </c>
      <c r="AY10" s="153">
        <v>40</v>
      </c>
      <c r="AZ10" s="153">
        <v>62.5</v>
      </c>
      <c r="BA10" s="153">
        <v>29</v>
      </c>
      <c r="BB10" s="153">
        <v>38</v>
      </c>
      <c r="BC10" s="153">
        <v>76.31578947368422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  <c r="BI10" s="7" t="s">
        <v>15</v>
      </c>
      <c r="BK10" s="4"/>
      <c r="BL10" s="4"/>
      <c r="BM10" s="4"/>
    </row>
    <row r="11" spans="1:69" ht="14.95" customHeight="1" thickBot="1" x14ac:dyDescent="0.3">
      <c r="A11" s="346" t="s">
        <v>862</v>
      </c>
      <c r="B11" s="347">
        <v>0</v>
      </c>
      <c r="C11" s="348">
        <v>0</v>
      </c>
      <c r="D11" s="349">
        <v>1</v>
      </c>
      <c r="E11" s="350">
        <f t="shared" si="0"/>
        <v>1</v>
      </c>
      <c r="F11" s="182" t="s">
        <v>862</v>
      </c>
      <c r="G11" s="78">
        <v>0</v>
      </c>
      <c r="H11" s="325">
        <v>0</v>
      </c>
      <c r="I11" s="226">
        <v>5</v>
      </c>
      <c r="J11" s="204">
        <f t="shared" si="1"/>
        <v>5</v>
      </c>
      <c r="K11" s="341" t="s">
        <v>212</v>
      </c>
      <c r="L11" s="352">
        <v>9</v>
      </c>
      <c r="M11" s="352">
        <v>11</v>
      </c>
      <c r="N11" s="353">
        <f t="shared" ref="N11" si="10">SUM(L11/M11)*100</f>
        <v>81.818181818181827</v>
      </c>
      <c r="O11" s="352" t="s">
        <v>15</v>
      </c>
      <c r="P11" s="352" t="s">
        <v>15</v>
      </c>
      <c r="Q11" s="353" t="s">
        <v>15</v>
      </c>
      <c r="R11" s="355">
        <v>1</v>
      </c>
      <c r="S11" s="355">
        <v>1</v>
      </c>
      <c r="T11" s="7">
        <v>1</v>
      </c>
      <c r="U11" s="7">
        <v>1</v>
      </c>
      <c r="V11" s="7">
        <v>100</v>
      </c>
      <c r="W11" s="7">
        <v>8</v>
      </c>
      <c r="X11" s="7">
        <v>13</v>
      </c>
      <c r="Y11" s="7">
        <v>62</v>
      </c>
      <c r="Z11" s="93"/>
      <c r="AA11" s="94"/>
      <c r="AB11" s="197"/>
      <c r="AC11" s="7">
        <v>31</v>
      </c>
      <c r="AD11" s="7">
        <v>35</v>
      </c>
      <c r="AE11" s="7">
        <v>87</v>
      </c>
      <c r="AF11" s="7">
        <v>18</v>
      </c>
      <c r="AG11" s="7">
        <v>26</v>
      </c>
      <c r="AH11" s="7">
        <v>69</v>
      </c>
      <c r="AI11" s="148">
        <v>18</v>
      </c>
      <c r="AJ11" s="7">
        <v>26</v>
      </c>
      <c r="AK11" s="153">
        <f>SUM(AI11/AJ11)*100</f>
        <v>69.230769230769226</v>
      </c>
      <c r="AL11" s="84">
        <v>1</v>
      </c>
      <c r="AM11" s="79">
        <v>1</v>
      </c>
      <c r="AN11" s="171">
        <f>SUM(AL11/AM11)*100</f>
        <v>100</v>
      </c>
      <c r="AO11" s="148">
        <v>14</v>
      </c>
      <c r="AP11" s="7">
        <v>20</v>
      </c>
      <c r="AQ11" s="153">
        <f t="shared" ref="AQ11" si="11">SUM(AO11/AP11)*100</f>
        <v>70</v>
      </c>
      <c r="AR11" s="6">
        <v>15</v>
      </c>
      <c r="AS11" s="7">
        <v>20</v>
      </c>
      <c r="AT11" s="153">
        <f>SUM(AR11/AS11)*100</f>
        <v>75</v>
      </c>
      <c r="AU11" s="148">
        <v>7</v>
      </c>
      <c r="AV11" s="7">
        <v>8</v>
      </c>
      <c r="AW11" s="153">
        <f>SUM(AU11/AV11)*100</f>
        <v>87.5</v>
      </c>
      <c r="AX11" s="148">
        <v>7</v>
      </c>
      <c r="AY11" s="7">
        <v>9</v>
      </c>
      <c r="AZ11" s="153">
        <f>SUM(AX11/AY11)*100</f>
        <v>77.777777777777786</v>
      </c>
      <c r="BA11" s="7">
        <v>3</v>
      </c>
      <c r="BB11" s="7">
        <v>3</v>
      </c>
      <c r="BC11" s="153">
        <f>SUM(BA11/BB11)*100</f>
        <v>100</v>
      </c>
      <c r="BD11" s="7">
        <v>3</v>
      </c>
      <c r="BE11" s="7">
        <v>4</v>
      </c>
      <c r="BF11" s="153">
        <f>SUM(BD11/BE11)*100</f>
        <v>75</v>
      </c>
      <c r="BG11" s="152" t="s">
        <v>15</v>
      </c>
      <c r="BH11" s="152" t="s">
        <v>15</v>
      </c>
      <c r="BI11" s="152" t="s">
        <v>15</v>
      </c>
    </row>
    <row r="12" spans="1:69" ht="14.95" customHeight="1" thickBot="1" x14ac:dyDescent="0.3">
      <c r="A12" s="346" t="s">
        <v>210</v>
      </c>
      <c r="B12" s="347">
        <v>2</v>
      </c>
      <c r="C12" s="348">
        <v>0</v>
      </c>
      <c r="D12" s="349">
        <v>1</v>
      </c>
      <c r="E12" s="350">
        <f t="shared" si="0"/>
        <v>3</v>
      </c>
      <c r="F12" s="182" t="s">
        <v>210</v>
      </c>
      <c r="G12" s="78">
        <v>12</v>
      </c>
      <c r="H12" s="325">
        <v>0</v>
      </c>
      <c r="I12" s="226">
        <v>19</v>
      </c>
      <c r="J12" s="204">
        <f t="shared" si="1"/>
        <v>31</v>
      </c>
      <c r="BA12" s="4"/>
    </row>
    <row r="13" spans="1:69" ht="14.95" customHeight="1" thickBot="1" x14ac:dyDescent="0.3">
      <c r="A13" s="346" t="s">
        <v>860</v>
      </c>
      <c r="B13" s="347">
        <v>0</v>
      </c>
      <c r="C13" s="348">
        <v>0</v>
      </c>
      <c r="D13" s="349">
        <v>0</v>
      </c>
      <c r="E13" s="350">
        <f t="shared" si="0"/>
        <v>0</v>
      </c>
      <c r="F13" s="182" t="s">
        <v>860</v>
      </c>
      <c r="G13" s="78">
        <v>0</v>
      </c>
      <c r="H13" s="325">
        <v>0</v>
      </c>
      <c r="I13" s="226">
        <v>0</v>
      </c>
      <c r="J13" s="204">
        <f t="shared" si="1"/>
        <v>0</v>
      </c>
      <c r="K13" s="492" t="s">
        <v>195</v>
      </c>
      <c r="L13" s="481" t="s">
        <v>14</v>
      </c>
      <c r="M13" s="482"/>
      <c r="N13" s="483"/>
      <c r="O13" s="457" t="s">
        <v>234</v>
      </c>
      <c r="P13" s="458"/>
      <c r="Q13" s="459"/>
      <c r="R13" s="465" t="s">
        <v>903</v>
      </c>
      <c r="S13" s="466"/>
      <c r="T13" s="467"/>
      <c r="U13" s="465" t="s">
        <v>601</v>
      </c>
      <c r="V13" s="466"/>
      <c r="W13" s="467"/>
      <c r="X13" s="85" t="s">
        <v>21</v>
      </c>
      <c r="AC13" s="465" t="s">
        <v>494</v>
      </c>
      <c r="AD13" s="466"/>
      <c r="AE13" s="467"/>
      <c r="AF13" s="465" t="s">
        <v>407</v>
      </c>
      <c r="AG13" s="466"/>
      <c r="AH13" s="467"/>
      <c r="AI13" s="465" t="s">
        <v>313</v>
      </c>
      <c r="AJ13" s="466"/>
      <c r="AK13" s="467"/>
      <c r="AL13" s="465" t="s">
        <v>227</v>
      </c>
      <c r="AM13" s="466"/>
      <c r="AN13" s="467"/>
      <c r="AO13" s="465" t="s">
        <v>172</v>
      </c>
      <c r="AP13" s="466"/>
      <c r="AQ13" s="467"/>
      <c r="AR13" s="465" t="s">
        <v>79</v>
      </c>
      <c r="AS13" s="466"/>
      <c r="AT13" s="467"/>
      <c r="AU13" s="465" t="s">
        <v>54</v>
      </c>
      <c r="AV13" s="466"/>
      <c r="AW13" s="467"/>
      <c r="AX13" s="465" t="s">
        <v>50</v>
      </c>
      <c r="AY13" s="466"/>
      <c r="AZ13" s="467"/>
      <c r="BA13" s="465" t="s">
        <v>37</v>
      </c>
      <c r="BB13" s="466"/>
      <c r="BC13" s="467"/>
      <c r="BF13" s="4"/>
      <c r="BG13" s="4"/>
      <c r="BH13" s="4"/>
      <c r="BI13" s="4"/>
    </row>
    <row r="14" spans="1:69" ht="14.95" customHeight="1" thickBot="1" x14ac:dyDescent="0.3">
      <c r="A14" s="346" t="s">
        <v>32</v>
      </c>
      <c r="B14" s="347">
        <v>3</v>
      </c>
      <c r="C14" s="348">
        <v>3</v>
      </c>
      <c r="D14" s="349">
        <v>0</v>
      </c>
      <c r="E14" s="350">
        <f t="shared" si="0"/>
        <v>6</v>
      </c>
      <c r="F14" s="182" t="s">
        <v>32</v>
      </c>
      <c r="G14" s="78">
        <v>15</v>
      </c>
      <c r="H14" s="325">
        <v>15</v>
      </c>
      <c r="I14" s="226">
        <v>0</v>
      </c>
      <c r="J14" s="204">
        <f t="shared" si="1"/>
        <v>30</v>
      </c>
      <c r="K14" s="493"/>
      <c r="L14" s="484"/>
      <c r="M14" s="485"/>
      <c r="N14" s="486"/>
      <c r="O14" s="460"/>
      <c r="P14" s="461"/>
      <c r="Q14" s="462"/>
      <c r="R14" s="468"/>
      <c r="S14" s="469"/>
      <c r="T14" s="470"/>
      <c r="U14" s="468"/>
      <c r="V14" s="469"/>
      <c r="W14" s="470"/>
      <c r="AC14" s="468"/>
      <c r="AD14" s="469"/>
      <c r="AE14" s="470"/>
      <c r="AF14" s="468"/>
      <c r="AG14" s="469"/>
      <c r="AH14" s="470"/>
      <c r="AI14" s="468"/>
      <c r="AJ14" s="469"/>
      <c r="AK14" s="470"/>
      <c r="AL14" s="468"/>
      <c r="AM14" s="469"/>
      <c r="AN14" s="470"/>
      <c r="AO14" s="468"/>
      <c r="AP14" s="469"/>
      <c r="AQ14" s="470"/>
      <c r="AR14" s="468"/>
      <c r="AS14" s="469"/>
      <c r="AT14" s="470"/>
      <c r="AU14" s="468"/>
      <c r="AV14" s="469"/>
      <c r="AW14" s="470"/>
      <c r="AX14" s="468"/>
      <c r="AY14" s="469"/>
      <c r="AZ14" s="470"/>
      <c r="BA14" s="468"/>
      <c r="BB14" s="469"/>
      <c r="BC14" s="470"/>
    </row>
    <row r="15" spans="1:69" ht="14.95" customHeight="1" thickBot="1" x14ac:dyDescent="0.3">
      <c r="A15" s="346" t="s">
        <v>301</v>
      </c>
      <c r="B15" s="347">
        <v>3</v>
      </c>
      <c r="C15" s="348">
        <v>1</v>
      </c>
      <c r="D15" s="349">
        <v>0</v>
      </c>
      <c r="E15" s="350">
        <f t="shared" si="0"/>
        <v>4</v>
      </c>
      <c r="F15" s="182" t="s">
        <v>301</v>
      </c>
      <c r="G15" s="78">
        <v>15</v>
      </c>
      <c r="H15" s="325">
        <v>5</v>
      </c>
      <c r="I15" s="226">
        <v>0</v>
      </c>
      <c r="J15" s="204">
        <f t="shared" si="1"/>
        <v>20</v>
      </c>
      <c r="K15" s="252"/>
      <c r="L15" s="3" t="s">
        <v>46</v>
      </c>
      <c r="M15" s="3" t="s">
        <v>9</v>
      </c>
      <c r="N15" s="3" t="s">
        <v>10</v>
      </c>
      <c r="O15" s="7" t="s">
        <v>46</v>
      </c>
      <c r="P15" s="7" t="s">
        <v>9</v>
      </c>
      <c r="Q15" s="7" t="s">
        <v>10</v>
      </c>
      <c r="R15" s="79" t="s">
        <v>46</v>
      </c>
      <c r="S15" s="79" t="s">
        <v>9</v>
      </c>
      <c r="T15" s="79" t="s">
        <v>10</v>
      </c>
      <c r="U15" s="79" t="s">
        <v>46</v>
      </c>
      <c r="V15" s="79" t="s">
        <v>9</v>
      </c>
      <c r="W15" s="79" t="s">
        <v>10</v>
      </c>
      <c r="AC15" s="84" t="s">
        <v>46</v>
      </c>
      <c r="AD15" s="79" t="s">
        <v>9</v>
      </c>
      <c r="AE15" s="79" t="s">
        <v>10</v>
      </c>
      <c r="AF15" s="84" t="s">
        <v>46</v>
      </c>
      <c r="AG15" s="79" t="s">
        <v>9</v>
      </c>
      <c r="AH15" s="79" t="s">
        <v>10</v>
      </c>
      <c r="AI15" s="84" t="s">
        <v>46</v>
      </c>
      <c r="AJ15" s="79" t="s">
        <v>9</v>
      </c>
      <c r="AK15" s="79" t="s">
        <v>10</v>
      </c>
      <c r="AL15" s="84" t="s">
        <v>46</v>
      </c>
      <c r="AM15" s="79" t="s">
        <v>9</v>
      </c>
      <c r="AN15" s="79" t="s">
        <v>10</v>
      </c>
      <c r="AO15" s="84" t="s">
        <v>46</v>
      </c>
      <c r="AP15" s="79" t="s">
        <v>9</v>
      </c>
      <c r="AQ15" s="79" t="s">
        <v>10</v>
      </c>
      <c r="AR15" s="84" t="s">
        <v>46</v>
      </c>
      <c r="AS15" s="79" t="s">
        <v>9</v>
      </c>
      <c r="AT15" s="79" t="s">
        <v>10</v>
      </c>
      <c r="AU15" s="84" t="s">
        <v>46</v>
      </c>
      <c r="AV15" s="79" t="s">
        <v>9</v>
      </c>
      <c r="AW15" s="79" t="s">
        <v>10</v>
      </c>
      <c r="AX15" s="84" t="s">
        <v>46</v>
      </c>
      <c r="AY15" s="79" t="s">
        <v>9</v>
      </c>
      <c r="AZ15" s="79" t="s">
        <v>10</v>
      </c>
      <c r="BA15" s="97" t="s">
        <v>46</v>
      </c>
      <c r="BB15" s="79" t="s">
        <v>9</v>
      </c>
      <c r="BC15" s="79" t="s">
        <v>10</v>
      </c>
      <c r="BM15" s="4"/>
    </row>
    <row r="16" spans="1:69" ht="14.95" customHeight="1" thickBot="1" x14ac:dyDescent="0.3">
      <c r="A16" s="346" t="s">
        <v>804</v>
      </c>
      <c r="B16" s="347">
        <v>0</v>
      </c>
      <c r="C16" s="348">
        <v>0</v>
      </c>
      <c r="D16" s="349">
        <v>1</v>
      </c>
      <c r="E16" s="350">
        <f t="shared" si="0"/>
        <v>1</v>
      </c>
      <c r="F16" s="182" t="s">
        <v>804</v>
      </c>
      <c r="G16" s="78">
        <v>0</v>
      </c>
      <c r="H16" s="325">
        <v>0</v>
      </c>
      <c r="I16" s="226">
        <v>5</v>
      </c>
      <c r="J16" s="204">
        <f t="shared" si="1"/>
        <v>5</v>
      </c>
      <c r="K16" s="351" t="s">
        <v>1005</v>
      </c>
      <c r="L16" s="354" t="s">
        <v>15</v>
      </c>
      <c r="M16" s="354" t="s">
        <v>15</v>
      </c>
      <c r="N16" s="356" t="s">
        <v>15</v>
      </c>
      <c r="O16" s="6" t="s">
        <v>15</v>
      </c>
      <c r="P16" s="6" t="s">
        <v>15</v>
      </c>
      <c r="Q16" s="157" t="s">
        <v>15</v>
      </c>
      <c r="R16" s="6" t="s">
        <v>15</v>
      </c>
      <c r="S16" s="6" t="s">
        <v>15</v>
      </c>
      <c r="T16" s="157" t="s">
        <v>15</v>
      </c>
      <c r="U16" s="6">
        <v>1</v>
      </c>
      <c r="V16" s="6">
        <v>4</v>
      </c>
      <c r="W16" s="157">
        <v>25</v>
      </c>
      <c r="AC16" s="97" t="s">
        <v>15</v>
      </c>
      <c r="AD16" s="97" t="s">
        <v>15</v>
      </c>
      <c r="AE16" s="97" t="s">
        <v>15</v>
      </c>
      <c r="AF16" s="97" t="s">
        <v>15</v>
      </c>
      <c r="AG16" s="97" t="s">
        <v>15</v>
      </c>
      <c r="AH16" s="97" t="s">
        <v>15</v>
      </c>
      <c r="AI16" s="97" t="s">
        <v>15</v>
      </c>
      <c r="AJ16" s="97" t="s">
        <v>15</v>
      </c>
      <c r="AK16" s="97" t="s">
        <v>15</v>
      </c>
      <c r="AL16" s="6" t="s">
        <v>15</v>
      </c>
      <c r="AM16" s="6" t="s">
        <v>15</v>
      </c>
      <c r="AN16" s="6" t="s">
        <v>15</v>
      </c>
      <c r="AO16" s="6" t="s">
        <v>15</v>
      </c>
      <c r="AP16" s="6" t="s">
        <v>15</v>
      </c>
      <c r="AQ16" s="6" t="s">
        <v>15</v>
      </c>
      <c r="AR16" s="6" t="s">
        <v>15</v>
      </c>
      <c r="AS16" s="6" t="s">
        <v>15</v>
      </c>
      <c r="AT16" s="6" t="s">
        <v>15</v>
      </c>
      <c r="AU16" s="6" t="s">
        <v>15</v>
      </c>
      <c r="AV16" s="6" t="s">
        <v>15</v>
      </c>
      <c r="AW16" s="6" t="s">
        <v>15</v>
      </c>
      <c r="AX16" s="6" t="s">
        <v>15</v>
      </c>
      <c r="AY16" s="6" t="s">
        <v>15</v>
      </c>
      <c r="AZ16" s="152" t="s">
        <v>15</v>
      </c>
      <c r="BA16" s="6" t="s">
        <v>15</v>
      </c>
      <c r="BB16" s="152" t="s">
        <v>15</v>
      </c>
      <c r="BC16" s="152" t="s">
        <v>15</v>
      </c>
      <c r="BK16" s="4"/>
      <c r="BL16" s="4"/>
    </row>
    <row r="17" spans="1:62" ht="14.95" thickBot="1" x14ac:dyDescent="0.3">
      <c r="A17" s="346" t="s">
        <v>36</v>
      </c>
      <c r="B17" s="347">
        <v>0</v>
      </c>
      <c r="C17" s="348">
        <v>0</v>
      </c>
      <c r="D17" s="349">
        <v>0</v>
      </c>
      <c r="E17" s="350">
        <f t="shared" si="0"/>
        <v>0</v>
      </c>
      <c r="F17" s="182" t="s">
        <v>36</v>
      </c>
      <c r="G17" s="78">
        <v>0</v>
      </c>
      <c r="H17" s="325">
        <v>0</v>
      </c>
      <c r="I17" s="226">
        <v>0</v>
      </c>
      <c r="J17" s="204">
        <f t="shared" si="1"/>
        <v>0</v>
      </c>
      <c r="K17" s="346" t="s">
        <v>523</v>
      </c>
      <c r="L17" s="354">
        <v>24</v>
      </c>
      <c r="M17" s="354">
        <v>26</v>
      </c>
      <c r="N17" s="356">
        <f t="shared" ref="N17" si="12">SUM(L17/M17)*100</f>
        <v>92.307692307692307</v>
      </c>
      <c r="O17" s="6">
        <v>12</v>
      </c>
      <c r="P17" s="6">
        <v>13</v>
      </c>
      <c r="Q17" s="157">
        <v>92.307692307692307</v>
      </c>
      <c r="R17" s="6">
        <v>4</v>
      </c>
      <c r="S17" s="6">
        <v>8</v>
      </c>
      <c r="T17" s="157">
        <v>50</v>
      </c>
      <c r="U17" s="6">
        <v>9</v>
      </c>
      <c r="V17" s="6">
        <v>13</v>
      </c>
      <c r="W17" s="157">
        <v>69</v>
      </c>
      <c r="AC17" s="148">
        <v>1</v>
      </c>
      <c r="AD17" s="7">
        <v>1</v>
      </c>
      <c r="AE17" s="153">
        <f t="shared" ref="AE17:AE18" si="13">SUM(AC17/AD17)*100</f>
        <v>100</v>
      </c>
      <c r="AF17" s="148" t="s">
        <v>15</v>
      </c>
      <c r="AG17" s="7" t="s">
        <v>15</v>
      </c>
      <c r="AH17" s="153" t="s">
        <v>15</v>
      </c>
      <c r="AI17" s="148">
        <v>1</v>
      </c>
      <c r="AJ17" s="7">
        <v>1</v>
      </c>
      <c r="AK17" s="153">
        <f t="shared" ref="AK17" si="14">SUM(AI17/AJ17)*100</f>
        <v>100</v>
      </c>
      <c r="AL17" s="148">
        <v>21</v>
      </c>
      <c r="AM17" s="7">
        <v>27</v>
      </c>
      <c r="AN17" s="153">
        <f t="shared" ref="AN17" si="15">SUM(AL17/AM17)*100</f>
        <v>77.777777777777786</v>
      </c>
      <c r="AO17" s="148">
        <v>12</v>
      </c>
      <c r="AP17" s="7">
        <v>15</v>
      </c>
      <c r="AQ17" s="153">
        <f t="shared" ref="AQ17" si="16">SUM(AO17/AP17)*100</f>
        <v>80</v>
      </c>
      <c r="AR17" s="148">
        <v>25</v>
      </c>
      <c r="AS17" s="7">
        <v>34</v>
      </c>
      <c r="AT17" s="153">
        <v>73.529411764705884</v>
      </c>
      <c r="AU17" s="331">
        <v>18</v>
      </c>
      <c r="AV17" s="153">
        <v>26</v>
      </c>
      <c r="AW17" s="153">
        <v>69.230769230769226</v>
      </c>
      <c r="AX17" s="331">
        <v>13</v>
      </c>
      <c r="AY17" s="153">
        <v>16</v>
      </c>
      <c r="AZ17" s="153">
        <v>81.25</v>
      </c>
      <c r="BA17" s="6" t="s">
        <v>15</v>
      </c>
      <c r="BB17" s="152" t="s">
        <v>15</v>
      </c>
      <c r="BC17" s="152" t="s">
        <v>15</v>
      </c>
    </row>
    <row r="18" spans="1:62" ht="14.95" thickBot="1" x14ac:dyDescent="0.3">
      <c r="A18" s="346" t="s">
        <v>229</v>
      </c>
      <c r="B18" s="347">
        <v>0</v>
      </c>
      <c r="C18" s="348">
        <v>0</v>
      </c>
      <c r="D18" s="349">
        <v>0</v>
      </c>
      <c r="E18" s="350">
        <f t="shared" si="0"/>
        <v>0</v>
      </c>
      <c r="F18" s="181" t="s">
        <v>229</v>
      </c>
      <c r="G18" s="78">
        <v>0</v>
      </c>
      <c r="H18" s="325">
        <v>0</v>
      </c>
      <c r="I18" s="226">
        <v>0</v>
      </c>
      <c r="J18" s="204">
        <f t="shared" si="1"/>
        <v>0</v>
      </c>
      <c r="K18" s="341" t="s">
        <v>212</v>
      </c>
      <c r="L18" s="354" t="s">
        <v>15</v>
      </c>
      <c r="M18" s="354" t="s">
        <v>15</v>
      </c>
      <c r="N18" s="356" t="s">
        <v>15</v>
      </c>
      <c r="O18" s="6" t="s">
        <v>15</v>
      </c>
      <c r="P18" s="6" t="s">
        <v>15</v>
      </c>
      <c r="Q18" s="157" t="s">
        <v>15</v>
      </c>
      <c r="R18" s="6">
        <v>12</v>
      </c>
      <c r="S18" s="6">
        <v>19</v>
      </c>
      <c r="T18" s="157">
        <v>63.157894736842103</v>
      </c>
      <c r="U18" s="6" t="s">
        <v>15</v>
      </c>
      <c r="V18" s="6" t="s">
        <v>15</v>
      </c>
      <c r="W18" s="157" t="s">
        <v>15</v>
      </c>
      <c r="AC18" s="6">
        <v>3</v>
      </c>
      <c r="AD18" s="6">
        <v>4</v>
      </c>
      <c r="AE18" s="157">
        <f t="shared" si="13"/>
        <v>75</v>
      </c>
      <c r="AF18" s="97">
        <v>3</v>
      </c>
      <c r="AG18" s="97">
        <v>5</v>
      </c>
      <c r="AH18" s="97">
        <v>60</v>
      </c>
      <c r="AI18" s="97" t="s">
        <v>15</v>
      </c>
      <c r="AJ18" s="97" t="s">
        <v>15</v>
      </c>
      <c r="AK18" s="97" t="s">
        <v>15</v>
      </c>
      <c r="AL18" s="6">
        <v>4</v>
      </c>
      <c r="AM18" s="6">
        <v>4</v>
      </c>
      <c r="AN18" s="6">
        <f>SUM(AL18/AM18)*100</f>
        <v>100</v>
      </c>
      <c r="AO18" s="6" t="s">
        <v>15</v>
      </c>
      <c r="AP18" s="6" t="s">
        <v>15</v>
      </c>
      <c r="AQ18" s="6" t="s">
        <v>15</v>
      </c>
      <c r="AR18" s="6">
        <v>7</v>
      </c>
      <c r="AS18" s="6">
        <v>9</v>
      </c>
      <c r="AT18" s="157">
        <f>SUM(AR18/AS18)*100</f>
        <v>77.777777777777786</v>
      </c>
      <c r="AU18" s="6" t="s">
        <v>15</v>
      </c>
      <c r="AV18" s="6" t="s">
        <v>15</v>
      </c>
      <c r="AW18" s="6" t="s">
        <v>15</v>
      </c>
      <c r="AX18" s="6" t="s">
        <v>15</v>
      </c>
      <c r="AY18" s="7" t="s">
        <v>15</v>
      </c>
      <c r="AZ18" s="7" t="s">
        <v>15</v>
      </c>
      <c r="BA18" s="148" t="s">
        <v>15</v>
      </c>
      <c r="BB18" s="7" t="s">
        <v>15</v>
      </c>
      <c r="BC18" s="7" t="s">
        <v>15</v>
      </c>
    </row>
    <row r="19" spans="1:62" ht="14.95" customHeight="1" thickBot="1" x14ac:dyDescent="0.3">
      <c r="A19" s="346" t="s">
        <v>995</v>
      </c>
      <c r="B19" s="347">
        <v>3</v>
      </c>
      <c r="C19" s="348">
        <v>0</v>
      </c>
      <c r="D19" s="349">
        <v>1</v>
      </c>
      <c r="E19" s="350">
        <f t="shared" si="0"/>
        <v>4</v>
      </c>
      <c r="F19" s="182" t="s">
        <v>995</v>
      </c>
      <c r="G19" s="78">
        <v>15</v>
      </c>
      <c r="H19" s="325">
        <v>0</v>
      </c>
      <c r="I19" s="226">
        <v>5</v>
      </c>
      <c r="J19" s="204">
        <f t="shared" si="1"/>
        <v>20</v>
      </c>
      <c r="AF19" s="36"/>
      <c r="AG19" s="36"/>
      <c r="AH19" s="36"/>
      <c r="AL19" s="4"/>
      <c r="BA19" s="4"/>
    </row>
    <row r="20" spans="1:62" ht="16.5" customHeight="1" thickBot="1" x14ac:dyDescent="0.3">
      <c r="A20" s="346" t="s">
        <v>813</v>
      </c>
      <c r="B20" s="347">
        <v>2</v>
      </c>
      <c r="C20" s="348">
        <v>1</v>
      </c>
      <c r="D20" s="349">
        <v>2</v>
      </c>
      <c r="E20" s="350">
        <f t="shared" si="0"/>
        <v>5</v>
      </c>
      <c r="F20" s="182" t="s">
        <v>813</v>
      </c>
      <c r="G20" s="78">
        <v>10</v>
      </c>
      <c r="H20" s="325">
        <v>5</v>
      </c>
      <c r="I20" s="226">
        <v>10</v>
      </c>
      <c r="J20" s="204">
        <f t="shared" si="1"/>
        <v>25</v>
      </c>
      <c r="K20" s="487" t="s">
        <v>196</v>
      </c>
      <c r="L20" s="465" t="s">
        <v>14</v>
      </c>
      <c r="M20" s="466"/>
      <c r="N20" s="467"/>
      <c r="O20" s="457" t="s">
        <v>234</v>
      </c>
      <c r="P20" s="458"/>
      <c r="Q20" s="459"/>
      <c r="R20" s="465" t="s">
        <v>903</v>
      </c>
      <c r="S20" s="466"/>
      <c r="T20" s="467"/>
      <c r="U20" s="465" t="s">
        <v>601</v>
      </c>
      <c r="V20" s="466"/>
      <c r="W20" s="467"/>
      <c r="AC20" s="465" t="s">
        <v>494</v>
      </c>
      <c r="AD20" s="466"/>
      <c r="AE20" s="467"/>
      <c r="AF20" s="465" t="s">
        <v>407</v>
      </c>
      <c r="AG20" s="466"/>
      <c r="AH20" s="467"/>
      <c r="AI20" s="465" t="s">
        <v>313</v>
      </c>
      <c r="AJ20" s="466"/>
      <c r="AK20" s="467"/>
      <c r="AL20" s="465" t="s">
        <v>227</v>
      </c>
      <c r="AM20" s="466"/>
      <c r="AN20" s="467"/>
      <c r="AO20" s="465" t="s">
        <v>172</v>
      </c>
      <c r="AP20" s="466"/>
      <c r="AQ20" s="467"/>
      <c r="AR20" s="465" t="s">
        <v>79</v>
      </c>
      <c r="AS20" s="466"/>
      <c r="AT20" s="467"/>
      <c r="AU20" s="465" t="s">
        <v>54</v>
      </c>
      <c r="AV20" s="466"/>
      <c r="AW20" s="467"/>
      <c r="AX20" s="465" t="s">
        <v>50</v>
      </c>
      <c r="AY20" s="466"/>
      <c r="AZ20" s="467"/>
      <c r="BA20" s="465" t="s">
        <v>41</v>
      </c>
      <c r="BB20" s="466"/>
      <c r="BC20" s="467"/>
    </row>
    <row r="21" spans="1:62" ht="14.95" customHeight="1" thickBot="1" x14ac:dyDescent="0.3">
      <c r="A21" s="346" t="s">
        <v>1000</v>
      </c>
      <c r="B21" s="347">
        <v>0</v>
      </c>
      <c r="C21" s="348">
        <v>0</v>
      </c>
      <c r="D21" s="349">
        <v>0</v>
      </c>
      <c r="E21" s="350">
        <f t="shared" si="0"/>
        <v>0</v>
      </c>
      <c r="F21" s="182" t="s">
        <v>1000</v>
      </c>
      <c r="G21" s="78">
        <v>0</v>
      </c>
      <c r="H21" s="325">
        <v>0</v>
      </c>
      <c r="I21" s="226">
        <v>0</v>
      </c>
      <c r="J21" s="204">
        <f t="shared" si="1"/>
        <v>0</v>
      </c>
      <c r="K21" s="488"/>
      <c r="L21" s="468"/>
      <c r="M21" s="469"/>
      <c r="N21" s="470"/>
      <c r="O21" s="460"/>
      <c r="P21" s="461"/>
      <c r="Q21" s="462"/>
      <c r="R21" s="468"/>
      <c r="S21" s="469"/>
      <c r="T21" s="470"/>
      <c r="U21" s="468"/>
      <c r="V21" s="469"/>
      <c r="W21" s="470"/>
      <c r="AC21" s="468"/>
      <c r="AD21" s="469"/>
      <c r="AE21" s="470"/>
      <c r="AF21" s="468"/>
      <c r="AG21" s="469"/>
      <c r="AH21" s="470"/>
      <c r="AI21" s="468"/>
      <c r="AJ21" s="469"/>
      <c r="AK21" s="470"/>
      <c r="AL21" s="468"/>
      <c r="AM21" s="469"/>
      <c r="AN21" s="470"/>
      <c r="AO21" s="468"/>
      <c r="AP21" s="469"/>
      <c r="AQ21" s="470"/>
      <c r="AR21" s="468"/>
      <c r="AS21" s="469"/>
      <c r="AT21" s="470"/>
      <c r="AU21" s="468"/>
      <c r="AV21" s="469"/>
      <c r="AW21" s="470"/>
      <c r="AX21" s="468"/>
      <c r="AY21" s="469"/>
      <c r="AZ21" s="470"/>
      <c r="BA21" s="468"/>
      <c r="BB21" s="469"/>
      <c r="BC21" s="470"/>
      <c r="BH21" s="4"/>
      <c r="BI21" s="4"/>
      <c r="BJ21" s="4"/>
    </row>
    <row r="22" spans="1:62" ht="14.95" customHeight="1" thickBot="1" x14ac:dyDescent="0.3">
      <c r="A22" s="346" t="s">
        <v>999</v>
      </c>
      <c r="B22" s="347">
        <v>2</v>
      </c>
      <c r="C22" s="348">
        <v>0</v>
      </c>
      <c r="D22" s="349">
        <v>0</v>
      </c>
      <c r="E22" s="350">
        <f t="shared" si="0"/>
        <v>2</v>
      </c>
      <c r="F22" s="182" t="s">
        <v>999</v>
      </c>
      <c r="G22" s="78">
        <v>10</v>
      </c>
      <c r="H22" s="325">
        <v>0</v>
      </c>
      <c r="I22" s="226">
        <v>0</v>
      </c>
      <c r="J22" s="204">
        <f t="shared" si="1"/>
        <v>10</v>
      </c>
      <c r="K22" s="255"/>
      <c r="L22" s="79" t="s">
        <v>46</v>
      </c>
      <c r="M22" s="79" t="s">
        <v>9</v>
      </c>
      <c r="N22" s="79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7" t="s">
        <v>46</v>
      </c>
      <c r="V22" s="7" t="s">
        <v>9</v>
      </c>
      <c r="W22" s="7" t="s">
        <v>10</v>
      </c>
      <c r="AC22" s="148" t="s">
        <v>46</v>
      </c>
      <c r="AD22" s="7" t="s">
        <v>9</v>
      </c>
      <c r="AE22" s="7" t="s">
        <v>10</v>
      </c>
      <c r="AF22" s="148" t="s">
        <v>46</v>
      </c>
      <c r="AG22" s="7" t="s">
        <v>9</v>
      </c>
      <c r="AH22" s="7" t="s">
        <v>10</v>
      </c>
      <c r="AI22" s="84" t="s">
        <v>46</v>
      </c>
      <c r="AJ22" s="79" t="s">
        <v>9</v>
      </c>
      <c r="AK22" s="79" t="s">
        <v>10</v>
      </c>
      <c r="AL22" s="84" t="s">
        <v>46</v>
      </c>
      <c r="AM22" s="79" t="s">
        <v>9</v>
      </c>
      <c r="AN22" s="79" t="s">
        <v>10</v>
      </c>
      <c r="AO22" s="84" t="s">
        <v>46</v>
      </c>
      <c r="AP22" s="79" t="s">
        <v>9</v>
      </c>
      <c r="AQ22" s="79" t="s">
        <v>10</v>
      </c>
      <c r="AR22" s="84" t="s">
        <v>46</v>
      </c>
      <c r="AS22" s="79" t="s">
        <v>9</v>
      </c>
      <c r="AT22" s="79" t="s">
        <v>10</v>
      </c>
      <c r="AU22" s="84" t="s">
        <v>46</v>
      </c>
      <c r="AV22" s="79" t="s">
        <v>9</v>
      </c>
      <c r="AW22" s="79" t="s">
        <v>10</v>
      </c>
      <c r="AX22" s="84" t="s">
        <v>46</v>
      </c>
      <c r="AY22" s="79" t="s">
        <v>9</v>
      </c>
      <c r="AZ22" s="79" t="s">
        <v>10</v>
      </c>
      <c r="BA22" s="97" t="s">
        <v>46</v>
      </c>
      <c r="BB22" s="79" t="s">
        <v>9</v>
      </c>
      <c r="BC22" s="79" t="s">
        <v>10</v>
      </c>
    </row>
    <row r="23" spans="1:62" ht="14.95" customHeight="1" thickBot="1" x14ac:dyDescent="0.3">
      <c r="A23" s="346" t="s">
        <v>1001</v>
      </c>
      <c r="B23" s="347">
        <v>0</v>
      </c>
      <c r="C23" s="348">
        <v>0</v>
      </c>
      <c r="D23" s="349">
        <v>2</v>
      </c>
      <c r="E23" s="350">
        <f t="shared" si="0"/>
        <v>2</v>
      </c>
      <c r="F23" s="182" t="s">
        <v>1001</v>
      </c>
      <c r="G23" s="78">
        <v>0</v>
      </c>
      <c r="H23" s="325">
        <v>0</v>
      </c>
      <c r="I23" s="226">
        <v>10</v>
      </c>
      <c r="J23" s="204">
        <f t="shared" si="1"/>
        <v>10</v>
      </c>
      <c r="K23" s="351" t="s">
        <v>1005</v>
      </c>
      <c r="L23" s="6" t="s">
        <v>15</v>
      </c>
      <c r="M23" s="6" t="s">
        <v>15</v>
      </c>
      <c r="N23" s="157" t="s">
        <v>15</v>
      </c>
      <c r="O23" s="6">
        <v>11</v>
      </c>
      <c r="P23" s="6">
        <v>15</v>
      </c>
      <c r="Q23" s="157">
        <v>73.333333333333329</v>
      </c>
      <c r="R23" s="6">
        <v>19</v>
      </c>
      <c r="S23" s="6">
        <v>24</v>
      </c>
      <c r="T23" s="157">
        <v>79.166666666666657</v>
      </c>
      <c r="U23" s="6" t="s">
        <v>15</v>
      </c>
      <c r="V23" s="6" t="s">
        <v>15</v>
      </c>
      <c r="W23" s="157" t="s">
        <v>15</v>
      </c>
      <c r="AC23" s="6" t="s">
        <v>15</v>
      </c>
      <c r="AD23" s="6" t="s">
        <v>15</v>
      </c>
      <c r="AE23" s="157" t="s">
        <v>15</v>
      </c>
      <c r="AF23" s="6" t="s">
        <v>15</v>
      </c>
      <c r="AG23" s="6" t="s">
        <v>15</v>
      </c>
      <c r="AH23" s="157" t="s">
        <v>15</v>
      </c>
      <c r="AI23" s="6" t="s">
        <v>15</v>
      </c>
      <c r="AJ23" s="6" t="s">
        <v>15</v>
      </c>
      <c r="AK23" s="157" t="s">
        <v>15</v>
      </c>
      <c r="AL23" s="6" t="s">
        <v>15</v>
      </c>
      <c r="AM23" s="6" t="s">
        <v>15</v>
      </c>
      <c r="AN23" s="157" t="s">
        <v>15</v>
      </c>
      <c r="AO23" s="6" t="s">
        <v>15</v>
      </c>
      <c r="AP23" s="6" t="s">
        <v>15</v>
      </c>
      <c r="AQ23" s="157" t="s">
        <v>15</v>
      </c>
      <c r="AR23" s="6" t="s">
        <v>15</v>
      </c>
      <c r="AS23" s="6" t="s">
        <v>15</v>
      </c>
      <c r="AT23" s="157" t="s">
        <v>15</v>
      </c>
      <c r="AU23" s="6" t="s">
        <v>15</v>
      </c>
      <c r="AV23" s="6" t="s">
        <v>15</v>
      </c>
      <c r="AW23" s="157" t="s">
        <v>15</v>
      </c>
      <c r="AX23" s="6" t="s">
        <v>15</v>
      </c>
      <c r="AY23" s="6" t="s">
        <v>15</v>
      </c>
      <c r="AZ23" s="157" t="s">
        <v>15</v>
      </c>
      <c r="BA23" s="6" t="s">
        <v>15</v>
      </c>
      <c r="BB23" s="6" t="s">
        <v>15</v>
      </c>
      <c r="BC23" s="157" t="s">
        <v>15</v>
      </c>
    </row>
    <row r="24" spans="1:62" ht="14.95" customHeight="1" thickBot="1" x14ac:dyDescent="0.3">
      <c r="A24" s="346" t="s">
        <v>202</v>
      </c>
      <c r="B24" s="347">
        <v>0</v>
      </c>
      <c r="C24" s="348">
        <v>0</v>
      </c>
      <c r="D24" s="349">
        <v>0</v>
      </c>
      <c r="E24" s="350">
        <f t="shared" si="0"/>
        <v>0</v>
      </c>
      <c r="F24" s="182" t="s">
        <v>202</v>
      </c>
      <c r="G24" s="78">
        <v>0</v>
      </c>
      <c r="H24" s="325">
        <v>0</v>
      </c>
      <c r="I24" s="226">
        <v>0</v>
      </c>
      <c r="J24" s="204">
        <f t="shared" si="1"/>
        <v>0</v>
      </c>
      <c r="K24" s="351" t="s">
        <v>860</v>
      </c>
      <c r="L24" s="6" t="s">
        <v>15</v>
      </c>
      <c r="M24" s="6" t="s">
        <v>15</v>
      </c>
      <c r="N24" s="157" t="s">
        <v>15</v>
      </c>
      <c r="O24" s="6">
        <v>7</v>
      </c>
      <c r="P24" s="6">
        <v>7</v>
      </c>
      <c r="Q24" s="157">
        <v>100</v>
      </c>
      <c r="R24" s="6" t="s">
        <v>15</v>
      </c>
      <c r="S24" s="6" t="s">
        <v>15</v>
      </c>
      <c r="T24" s="157" t="s">
        <v>15</v>
      </c>
      <c r="U24" s="6" t="s">
        <v>15</v>
      </c>
      <c r="V24" s="6" t="s">
        <v>15</v>
      </c>
      <c r="W24" s="157" t="s">
        <v>15</v>
      </c>
      <c r="AC24" s="6" t="s">
        <v>15</v>
      </c>
      <c r="AD24" s="6" t="s">
        <v>15</v>
      </c>
      <c r="AE24" s="157" t="s">
        <v>15</v>
      </c>
      <c r="AF24" s="6" t="s">
        <v>15</v>
      </c>
      <c r="AG24" s="6" t="s">
        <v>15</v>
      </c>
      <c r="AH24" s="157" t="s">
        <v>15</v>
      </c>
      <c r="AI24" s="97" t="s">
        <v>15</v>
      </c>
      <c r="AJ24" s="97" t="s">
        <v>15</v>
      </c>
      <c r="AK24" s="97" t="s">
        <v>15</v>
      </c>
      <c r="AL24" s="6" t="s">
        <v>15</v>
      </c>
      <c r="AM24" s="6" t="s">
        <v>15</v>
      </c>
      <c r="AN24" s="6" t="s">
        <v>15</v>
      </c>
      <c r="AO24" s="6" t="s">
        <v>15</v>
      </c>
      <c r="AP24" s="6" t="s">
        <v>15</v>
      </c>
      <c r="AQ24" s="6" t="s">
        <v>15</v>
      </c>
      <c r="AR24" s="6" t="s">
        <v>15</v>
      </c>
      <c r="AS24" s="6" t="s">
        <v>15</v>
      </c>
      <c r="AT24" s="6" t="s">
        <v>15</v>
      </c>
      <c r="AU24" s="6" t="s">
        <v>15</v>
      </c>
      <c r="AV24" s="6" t="s">
        <v>15</v>
      </c>
      <c r="AW24" s="6" t="s">
        <v>15</v>
      </c>
      <c r="AX24" s="6" t="s">
        <v>15</v>
      </c>
      <c r="AY24" s="6" t="s">
        <v>15</v>
      </c>
      <c r="AZ24" s="152" t="s">
        <v>15</v>
      </c>
      <c r="BA24" s="6" t="s">
        <v>15</v>
      </c>
      <c r="BB24" s="152" t="s">
        <v>15</v>
      </c>
      <c r="BC24" s="152" t="s">
        <v>15</v>
      </c>
    </row>
    <row r="25" spans="1:62" ht="14.95" customHeight="1" thickBot="1" x14ac:dyDescent="0.3">
      <c r="A25" s="346" t="s">
        <v>465</v>
      </c>
      <c r="B25" s="347">
        <v>0</v>
      </c>
      <c r="C25" s="348">
        <v>0</v>
      </c>
      <c r="D25" s="349">
        <v>0</v>
      </c>
      <c r="E25" s="350">
        <f t="shared" si="0"/>
        <v>0</v>
      </c>
      <c r="F25" s="182" t="s">
        <v>465</v>
      </c>
      <c r="G25" s="78">
        <v>0</v>
      </c>
      <c r="H25" s="325">
        <v>0</v>
      </c>
      <c r="I25" s="226">
        <v>0</v>
      </c>
      <c r="J25" s="204">
        <f t="shared" si="1"/>
        <v>0</v>
      </c>
      <c r="K25" s="351" t="s">
        <v>527</v>
      </c>
      <c r="L25" s="6" t="s">
        <v>15</v>
      </c>
      <c r="M25" s="6" t="s">
        <v>15</v>
      </c>
      <c r="N25" s="157" t="s">
        <v>15</v>
      </c>
      <c r="O25" s="6">
        <v>19</v>
      </c>
      <c r="P25" s="6">
        <v>24</v>
      </c>
      <c r="Q25" s="157">
        <v>79.166666666666657</v>
      </c>
      <c r="R25" s="6" t="s">
        <v>15</v>
      </c>
      <c r="S25" s="6" t="s">
        <v>15</v>
      </c>
      <c r="T25" s="157" t="s">
        <v>15</v>
      </c>
      <c r="U25" s="6" t="s">
        <v>15</v>
      </c>
      <c r="V25" s="6" t="s">
        <v>15</v>
      </c>
      <c r="W25" s="157" t="s">
        <v>15</v>
      </c>
      <c r="AC25" s="6" t="s">
        <v>15</v>
      </c>
      <c r="AD25" s="6" t="s">
        <v>15</v>
      </c>
      <c r="AE25" s="157" t="s">
        <v>15</v>
      </c>
      <c r="AF25" s="6" t="s">
        <v>15</v>
      </c>
      <c r="AG25" s="6" t="s">
        <v>15</v>
      </c>
      <c r="AH25" s="157" t="s">
        <v>15</v>
      </c>
      <c r="AI25" s="97" t="s">
        <v>15</v>
      </c>
      <c r="AJ25" s="97" t="s">
        <v>15</v>
      </c>
      <c r="AK25" s="97" t="s">
        <v>15</v>
      </c>
      <c r="AL25" s="6" t="s">
        <v>15</v>
      </c>
      <c r="AM25" s="6" t="s">
        <v>15</v>
      </c>
      <c r="AN25" s="6" t="s">
        <v>15</v>
      </c>
      <c r="AO25" s="6" t="s">
        <v>15</v>
      </c>
      <c r="AP25" s="6" t="s">
        <v>15</v>
      </c>
      <c r="AQ25" s="6" t="s">
        <v>15</v>
      </c>
      <c r="AR25" s="6" t="s">
        <v>15</v>
      </c>
      <c r="AS25" s="6" t="s">
        <v>15</v>
      </c>
      <c r="AT25" s="6" t="s">
        <v>15</v>
      </c>
      <c r="AU25" s="6" t="s">
        <v>15</v>
      </c>
      <c r="AV25" s="6" t="s">
        <v>15</v>
      </c>
      <c r="AW25" s="6" t="s">
        <v>15</v>
      </c>
      <c r="AX25" s="6" t="s">
        <v>15</v>
      </c>
      <c r="AY25" s="6" t="s">
        <v>15</v>
      </c>
      <c r="AZ25" s="152" t="s">
        <v>15</v>
      </c>
      <c r="BA25" s="6" t="s">
        <v>15</v>
      </c>
      <c r="BB25" s="152" t="s">
        <v>15</v>
      </c>
      <c r="BC25" s="152" t="s">
        <v>15</v>
      </c>
    </row>
    <row r="26" spans="1:62" ht="14.95" customHeight="1" thickBot="1" x14ac:dyDescent="0.3">
      <c r="A26" s="346" t="s">
        <v>495</v>
      </c>
      <c r="B26" s="347">
        <v>0</v>
      </c>
      <c r="C26" s="348">
        <v>1</v>
      </c>
      <c r="D26" s="349">
        <v>1</v>
      </c>
      <c r="E26" s="350">
        <f t="shared" si="0"/>
        <v>2</v>
      </c>
      <c r="F26" s="182" t="s">
        <v>495</v>
      </c>
      <c r="G26" s="78">
        <v>0</v>
      </c>
      <c r="H26" s="325">
        <v>5</v>
      </c>
      <c r="I26" s="226">
        <v>5</v>
      </c>
      <c r="J26" s="204">
        <f t="shared" si="1"/>
        <v>10</v>
      </c>
      <c r="K26" s="351" t="s">
        <v>522</v>
      </c>
      <c r="L26" s="6" t="s">
        <v>15</v>
      </c>
      <c r="M26" s="6" t="s">
        <v>15</v>
      </c>
      <c r="N26" s="157" t="s">
        <v>15</v>
      </c>
      <c r="O26" s="6" t="s">
        <v>15</v>
      </c>
      <c r="P26" s="6" t="s">
        <v>15</v>
      </c>
      <c r="Q26" s="157" t="s">
        <v>15</v>
      </c>
      <c r="R26" s="6" t="s">
        <v>15</v>
      </c>
      <c r="S26" s="6" t="s">
        <v>15</v>
      </c>
      <c r="T26" s="157" t="s">
        <v>15</v>
      </c>
      <c r="U26" s="6">
        <v>1</v>
      </c>
      <c r="V26" s="6">
        <v>1</v>
      </c>
      <c r="W26" s="6">
        <v>100</v>
      </c>
      <c r="AC26" s="6">
        <v>1</v>
      </c>
      <c r="AD26" s="6">
        <v>2</v>
      </c>
      <c r="AE26" s="6">
        <f>SUM(AC26/AD26)*100</f>
        <v>50</v>
      </c>
      <c r="AF26" s="6">
        <v>10</v>
      </c>
      <c r="AG26" s="6">
        <v>12</v>
      </c>
      <c r="AH26" s="157">
        <f>SUM(AF26/AG26)*100</f>
        <v>83.333333333333343</v>
      </c>
      <c r="AI26" s="97" t="s">
        <v>15</v>
      </c>
      <c r="AJ26" s="97" t="s">
        <v>15</v>
      </c>
      <c r="AK26" s="97" t="s">
        <v>15</v>
      </c>
      <c r="AL26" s="6" t="s">
        <v>15</v>
      </c>
      <c r="AM26" s="6" t="s">
        <v>15</v>
      </c>
      <c r="AN26" s="6" t="s">
        <v>15</v>
      </c>
      <c r="AO26" s="6" t="s">
        <v>15</v>
      </c>
      <c r="AP26" s="6" t="s">
        <v>15</v>
      </c>
      <c r="AQ26" s="6" t="s">
        <v>15</v>
      </c>
      <c r="AR26" s="6" t="s">
        <v>15</v>
      </c>
      <c r="AS26" s="6" t="s">
        <v>15</v>
      </c>
      <c r="AT26" s="6" t="s">
        <v>15</v>
      </c>
      <c r="AU26" s="6" t="s">
        <v>15</v>
      </c>
      <c r="AV26" s="6" t="s">
        <v>15</v>
      </c>
      <c r="AW26" s="6" t="s">
        <v>15</v>
      </c>
      <c r="AX26" s="6" t="s">
        <v>15</v>
      </c>
      <c r="AY26" s="6" t="s">
        <v>15</v>
      </c>
      <c r="AZ26" s="152" t="s">
        <v>15</v>
      </c>
      <c r="BA26" s="6" t="s">
        <v>15</v>
      </c>
      <c r="BB26" s="152" t="s">
        <v>15</v>
      </c>
      <c r="BC26" s="152" t="s">
        <v>15</v>
      </c>
    </row>
    <row r="27" spans="1:62" ht="14.95" thickBot="1" x14ac:dyDescent="0.3">
      <c r="A27" s="346" t="s">
        <v>29</v>
      </c>
      <c r="B27" s="347">
        <v>1</v>
      </c>
      <c r="C27" s="348">
        <v>3</v>
      </c>
      <c r="D27" s="349">
        <v>0</v>
      </c>
      <c r="E27" s="350">
        <f t="shared" si="0"/>
        <v>4</v>
      </c>
      <c r="F27" s="182" t="s">
        <v>29</v>
      </c>
      <c r="G27" s="78">
        <v>5</v>
      </c>
      <c r="H27" s="325">
        <v>15</v>
      </c>
      <c r="I27" s="226">
        <v>0</v>
      </c>
      <c r="J27" s="204">
        <f t="shared" si="1"/>
        <v>20</v>
      </c>
      <c r="K27" s="199"/>
      <c r="L27" s="172"/>
      <c r="M27" s="170"/>
      <c r="N27" s="170"/>
      <c r="O27" s="200"/>
      <c r="P27" s="198"/>
      <c r="Q27" s="200"/>
      <c r="R27" s="170"/>
      <c r="S27" s="170"/>
      <c r="T27" s="170"/>
      <c r="U27" s="172"/>
      <c r="V27" s="170"/>
      <c r="W27" s="172"/>
      <c r="AC27" s="170"/>
      <c r="AD27" s="170"/>
      <c r="AE27" s="170"/>
      <c r="AF27" s="172"/>
      <c r="AG27" s="170"/>
      <c r="AH27" s="170"/>
      <c r="AI27" s="170"/>
      <c r="AJ27" s="86"/>
      <c r="AK27" s="86"/>
      <c r="AL27" s="86"/>
      <c r="AM27" s="86"/>
      <c r="AN27" s="86"/>
      <c r="AO27" s="36"/>
      <c r="AP27" s="36"/>
      <c r="AQ27" s="36"/>
      <c r="AS27" s="4"/>
      <c r="AT27" s="4"/>
      <c r="AU27" s="4"/>
    </row>
    <row r="28" spans="1:62" ht="14.95" customHeight="1" thickBot="1" x14ac:dyDescent="0.3">
      <c r="A28" s="346" t="s">
        <v>870</v>
      </c>
      <c r="B28" s="347">
        <v>0</v>
      </c>
      <c r="C28" s="348">
        <v>0</v>
      </c>
      <c r="D28" s="349">
        <v>0</v>
      </c>
      <c r="E28" s="350">
        <f t="shared" si="0"/>
        <v>0</v>
      </c>
      <c r="F28" s="182" t="s">
        <v>870</v>
      </c>
      <c r="G28" s="78">
        <v>0</v>
      </c>
      <c r="H28" s="325">
        <v>0</v>
      </c>
      <c r="I28" s="226">
        <v>0</v>
      </c>
      <c r="J28" s="204">
        <f t="shared" si="1"/>
        <v>0</v>
      </c>
      <c r="K28" s="479" t="s">
        <v>1032</v>
      </c>
      <c r="L28" s="481" t="s">
        <v>14</v>
      </c>
      <c r="M28" s="482"/>
      <c r="N28" s="483"/>
      <c r="O28" s="457" t="s">
        <v>234</v>
      </c>
      <c r="P28" s="458"/>
      <c r="Q28" s="459"/>
      <c r="R28" s="465" t="s">
        <v>903</v>
      </c>
      <c r="S28" s="466"/>
      <c r="T28" s="467"/>
      <c r="U28" s="465" t="s">
        <v>601</v>
      </c>
      <c r="V28" s="466"/>
      <c r="W28" s="467"/>
      <c r="AC28" s="457" t="s">
        <v>494</v>
      </c>
      <c r="AD28" s="458"/>
      <c r="AE28" s="459"/>
      <c r="AF28" s="465" t="s">
        <v>313</v>
      </c>
      <c r="AG28" s="466"/>
      <c r="AH28" s="467"/>
      <c r="AI28" s="465" t="s">
        <v>227</v>
      </c>
      <c r="AJ28" s="466"/>
      <c r="AK28" s="467"/>
      <c r="AL28" s="465" t="s">
        <v>172</v>
      </c>
      <c r="AM28" s="466"/>
      <c r="AN28" s="467"/>
      <c r="AO28" s="465" t="s">
        <v>79</v>
      </c>
      <c r="AP28" s="466"/>
      <c r="AQ28" s="467"/>
      <c r="AR28" s="465" t="s">
        <v>50</v>
      </c>
      <c r="AS28" s="466"/>
      <c r="AT28" s="467"/>
      <c r="AU28" s="465" t="s">
        <v>37</v>
      </c>
      <c r="AV28" s="466"/>
      <c r="AW28" s="467"/>
      <c r="AX28" s="36"/>
      <c r="AY28" s="36"/>
      <c r="AZ28" s="36"/>
    </row>
    <row r="29" spans="1:62" ht="14.95" customHeight="1" thickBot="1" x14ac:dyDescent="0.3">
      <c r="A29" s="346" t="s">
        <v>70</v>
      </c>
      <c r="B29" s="347">
        <v>3</v>
      </c>
      <c r="C29" s="348">
        <v>0</v>
      </c>
      <c r="D29" s="349">
        <v>0</v>
      </c>
      <c r="E29" s="350">
        <f t="shared" si="0"/>
        <v>3</v>
      </c>
      <c r="F29" s="182" t="s">
        <v>70</v>
      </c>
      <c r="G29" s="78">
        <v>15</v>
      </c>
      <c r="H29" s="325">
        <v>0</v>
      </c>
      <c r="I29" s="226">
        <v>0</v>
      </c>
      <c r="J29" s="204">
        <f t="shared" si="1"/>
        <v>15</v>
      </c>
      <c r="K29" s="480"/>
      <c r="L29" s="484"/>
      <c r="M29" s="485"/>
      <c r="N29" s="486"/>
      <c r="O29" s="460"/>
      <c r="P29" s="461"/>
      <c r="Q29" s="462"/>
      <c r="R29" s="468"/>
      <c r="S29" s="469"/>
      <c r="T29" s="470"/>
      <c r="U29" s="468"/>
      <c r="V29" s="469"/>
      <c r="W29" s="470"/>
      <c r="AC29" s="460"/>
      <c r="AD29" s="461"/>
      <c r="AE29" s="462"/>
      <c r="AF29" s="468"/>
      <c r="AG29" s="469"/>
      <c r="AH29" s="470"/>
      <c r="AI29" s="468"/>
      <c r="AJ29" s="469"/>
      <c r="AK29" s="470"/>
      <c r="AL29" s="468"/>
      <c r="AM29" s="469"/>
      <c r="AN29" s="470"/>
      <c r="AO29" s="468"/>
      <c r="AP29" s="469"/>
      <c r="AQ29" s="470"/>
      <c r="AR29" s="468"/>
      <c r="AS29" s="469"/>
      <c r="AT29" s="470"/>
      <c r="AU29" s="468"/>
      <c r="AV29" s="469"/>
      <c r="AW29" s="470"/>
      <c r="AX29" s="36"/>
      <c r="AY29" s="36"/>
      <c r="AZ29" s="36"/>
    </row>
    <row r="30" spans="1:62" ht="14.95" thickBot="1" x14ac:dyDescent="0.3">
      <c r="A30" s="346" t="s">
        <v>864</v>
      </c>
      <c r="B30" s="347">
        <v>0</v>
      </c>
      <c r="C30" s="348">
        <v>0</v>
      </c>
      <c r="D30" s="349">
        <v>0</v>
      </c>
      <c r="E30" s="350">
        <f t="shared" si="0"/>
        <v>0</v>
      </c>
      <c r="F30" s="182" t="s">
        <v>864</v>
      </c>
      <c r="G30" s="78">
        <v>0</v>
      </c>
      <c r="H30" s="325">
        <v>0</v>
      </c>
      <c r="I30" s="226">
        <v>0</v>
      </c>
      <c r="J30" s="204">
        <f t="shared" si="1"/>
        <v>0</v>
      </c>
      <c r="K30" s="433" t="s">
        <v>21</v>
      </c>
      <c r="L30" s="3" t="s">
        <v>46</v>
      </c>
      <c r="M30" s="3" t="s">
        <v>9</v>
      </c>
      <c r="N30" s="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C30" s="148" t="s">
        <v>46</v>
      </c>
      <c r="AD30" s="7" t="s">
        <v>9</v>
      </c>
      <c r="AE30" s="7" t="s">
        <v>10</v>
      </c>
      <c r="AF30" s="84" t="s">
        <v>46</v>
      </c>
      <c r="AG30" s="79" t="s">
        <v>9</v>
      </c>
      <c r="AH30" s="79" t="s">
        <v>10</v>
      </c>
      <c r="AI30" s="84" t="s">
        <v>46</v>
      </c>
      <c r="AJ30" s="79" t="s">
        <v>9</v>
      </c>
      <c r="AK30" s="79" t="s">
        <v>10</v>
      </c>
      <c r="AL30" s="97" t="s">
        <v>46</v>
      </c>
      <c r="AM30" s="79" t="s">
        <v>9</v>
      </c>
      <c r="AN30" s="79" t="s">
        <v>10</v>
      </c>
      <c r="AO30" s="84" t="s">
        <v>46</v>
      </c>
      <c r="AP30" s="79" t="s">
        <v>9</v>
      </c>
      <c r="AQ30" s="79" t="s">
        <v>10</v>
      </c>
      <c r="AR30" s="84" t="s">
        <v>46</v>
      </c>
      <c r="AS30" s="79" t="s">
        <v>9</v>
      </c>
      <c r="AT30" s="79" t="s">
        <v>10</v>
      </c>
      <c r="AU30" s="84" t="s">
        <v>46</v>
      </c>
      <c r="AV30" s="79" t="s">
        <v>9</v>
      </c>
      <c r="AW30" s="79" t="s">
        <v>10</v>
      </c>
      <c r="AX30" s="36"/>
      <c r="AY30" s="36"/>
      <c r="AZ30" s="36"/>
    </row>
    <row r="31" spans="1:62" ht="14.95" thickBot="1" x14ac:dyDescent="0.3">
      <c r="A31" s="346" t="s">
        <v>1003</v>
      </c>
      <c r="B31" s="347">
        <v>0</v>
      </c>
      <c r="C31" s="348">
        <v>0</v>
      </c>
      <c r="D31" s="349">
        <v>0</v>
      </c>
      <c r="E31" s="350">
        <f t="shared" si="0"/>
        <v>0</v>
      </c>
      <c r="F31" s="182" t="s">
        <v>1003</v>
      </c>
      <c r="G31" s="78">
        <v>0</v>
      </c>
      <c r="H31" s="325">
        <v>0</v>
      </c>
      <c r="I31" s="226">
        <v>6</v>
      </c>
      <c r="J31" s="204">
        <f t="shared" si="1"/>
        <v>6</v>
      </c>
      <c r="K31" s="351" t="s">
        <v>465</v>
      </c>
      <c r="L31" s="352" t="s">
        <v>15</v>
      </c>
      <c r="M31" s="352" t="s">
        <v>15</v>
      </c>
      <c r="N31" s="353" t="s">
        <v>15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>
        <v>1</v>
      </c>
      <c r="V31" s="7">
        <v>1</v>
      </c>
      <c r="W31" s="153">
        <v>100</v>
      </c>
      <c r="AC31" s="148" t="s">
        <v>15</v>
      </c>
      <c r="AD31" s="7" t="s">
        <v>15</v>
      </c>
      <c r="AE31" s="153" t="s">
        <v>15</v>
      </c>
      <c r="AF31" s="84" t="s">
        <v>15</v>
      </c>
      <c r="AG31" s="79" t="s">
        <v>15</v>
      </c>
      <c r="AH31" s="171" t="s">
        <v>15</v>
      </c>
      <c r="AI31" s="84" t="s">
        <v>15</v>
      </c>
      <c r="AJ31" s="79" t="s">
        <v>15</v>
      </c>
      <c r="AK31" s="171" t="s">
        <v>15</v>
      </c>
      <c r="AL31" s="6" t="s">
        <v>15</v>
      </c>
      <c r="AM31" s="6" t="s">
        <v>15</v>
      </c>
      <c r="AN31" s="6" t="s">
        <v>15</v>
      </c>
      <c r="AO31" s="6" t="s">
        <v>15</v>
      </c>
      <c r="AP31" s="6" t="s">
        <v>15</v>
      </c>
      <c r="AQ31" s="6" t="s">
        <v>15</v>
      </c>
      <c r="AR31" s="6" t="s">
        <v>15</v>
      </c>
      <c r="AS31" s="6" t="s">
        <v>15</v>
      </c>
      <c r="AT31" s="6" t="s">
        <v>15</v>
      </c>
      <c r="AU31" s="6" t="s">
        <v>15</v>
      </c>
      <c r="AV31" s="6" t="s">
        <v>15</v>
      </c>
      <c r="AW31" s="6" t="s">
        <v>15</v>
      </c>
      <c r="AX31" s="36"/>
      <c r="AY31" s="36"/>
      <c r="AZ31" s="36"/>
    </row>
    <row r="32" spans="1:62" ht="14.95" thickBot="1" x14ac:dyDescent="0.3">
      <c r="A32" s="346" t="s">
        <v>604</v>
      </c>
      <c r="B32" s="347">
        <v>0</v>
      </c>
      <c r="C32" s="348">
        <v>0</v>
      </c>
      <c r="D32" s="349">
        <v>0</v>
      </c>
      <c r="E32" s="350">
        <f t="shared" si="0"/>
        <v>0</v>
      </c>
      <c r="F32" s="182" t="s">
        <v>604</v>
      </c>
      <c r="G32" s="78">
        <v>0</v>
      </c>
      <c r="H32" s="325">
        <v>0</v>
      </c>
      <c r="I32" s="226">
        <v>0</v>
      </c>
      <c r="J32" s="204">
        <f t="shared" si="1"/>
        <v>0</v>
      </c>
      <c r="K32" s="442" t="s">
        <v>1041</v>
      </c>
      <c r="L32" s="352">
        <v>7</v>
      </c>
      <c r="M32" s="352">
        <v>11</v>
      </c>
      <c r="N32" s="353">
        <f t="shared" ref="N32:N34" si="17">SUM(L32/M32)*100</f>
        <v>63.636363636363633</v>
      </c>
      <c r="O32" s="7"/>
      <c r="P32" s="7"/>
      <c r="Q32" s="153"/>
      <c r="R32" s="7"/>
      <c r="S32" s="7"/>
      <c r="T32" s="153"/>
      <c r="U32" s="7"/>
      <c r="V32" s="7"/>
      <c r="W32" s="153"/>
      <c r="AC32" s="148"/>
      <c r="AD32" s="7"/>
      <c r="AE32" s="153"/>
      <c r="AF32" s="84"/>
      <c r="AG32" s="79"/>
      <c r="AH32" s="171"/>
      <c r="AI32" s="79"/>
      <c r="AJ32" s="79"/>
      <c r="AK32" s="171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36"/>
      <c r="AY32" s="36"/>
      <c r="AZ32" s="36"/>
    </row>
    <row r="33" spans="1:55" ht="15.8" customHeight="1" thickBot="1" x14ac:dyDescent="0.3">
      <c r="A33" s="346" t="s">
        <v>1002</v>
      </c>
      <c r="B33" s="347">
        <v>0</v>
      </c>
      <c r="C33" s="348">
        <v>0</v>
      </c>
      <c r="D33" s="349">
        <v>0</v>
      </c>
      <c r="E33" s="350">
        <f t="shared" si="0"/>
        <v>0</v>
      </c>
      <c r="F33" s="182" t="s">
        <v>1002</v>
      </c>
      <c r="G33" s="78">
        <v>0</v>
      </c>
      <c r="H33" s="325">
        <v>0</v>
      </c>
      <c r="I33" s="226">
        <v>0</v>
      </c>
      <c r="J33" s="204">
        <f t="shared" si="1"/>
        <v>0</v>
      </c>
      <c r="K33" s="346" t="s">
        <v>860</v>
      </c>
      <c r="L33" s="352" t="s">
        <v>15</v>
      </c>
      <c r="M33" s="352" t="s">
        <v>15</v>
      </c>
      <c r="N33" s="353" t="s">
        <v>15</v>
      </c>
      <c r="O33" s="7">
        <v>23</v>
      </c>
      <c r="P33" s="7">
        <v>34</v>
      </c>
      <c r="Q33" s="153">
        <v>67.64705882352942</v>
      </c>
      <c r="R33" s="7" t="s">
        <v>15</v>
      </c>
      <c r="S33" s="7" t="s">
        <v>15</v>
      </c>
      <c r="T33" s="153" t="s">
        <v>15</v>
      </c>
      <c r="U33" s="7" t="s">
        <v>15</v>
      </c>
      <c r="V33" s="7" t="s">
        <v>15</v>
      </c>
      <c r="W33" s="153" t="s">
        <v>15</v>
      </c>
      <c r="AC33" s="148" t="s">
        <v>15</v>
      </c>
      <c r="AD33" s="7" t="s">
        <v>15</v>
      </c>
      <c r="AE33" s="153" t="s">
        <v>15</v>
      </c>
      <c r="AF33" s="6" t="s">
        <v>15</v>
      </c>
      <c r="AG33" s="7" t="s">
        <v>15</v>
      </c>
      <c r="AH33" s="153" t="s">
        <v>15</v>
      </c>
      <c r="AI33" s="7" t="s">
        <v>15</v>
      </c>
      <c r="AJ33" s="7" t="s">
        <v>15</v>
      </c>
      <c r="AK33" s="153" t="s">
        <v>15</v>
      </c>
      <c r="AL33" s="7" t="s">
        <v>15</v>
      </c>
      <c r="AM33" s="7" t="s">
        <v>15</v>
      </c>
      <c r="AN33" s="153" t="s">
        <v>15</v>
      </c>
      <c r="AO33" s="7" t="s">
        <v>15</v>
      </c>
      <c r="AP33" s="7" t="s">
        <v>15</v>
      </c>
      <c r="AQ33" s="153" t="s">
        <v>15</v>
      </c>
      <c r="AR33" s="7" t="s">
        <v>15</v>
      </c>
      <c r="AS33" s="7" t="s">
        <v>15</v>
      </c>
      <c r="AT33" s="153" t="s">
        <v>15</v>
      </c>
      <c r="AU33" s="7" t="s">
        <v>15</v>
      </c>
      <c r="AV33" s="7" t="s">
        <v>15</v>
      </c>
      <c r="AW33" s="153" t="s">
        <v>15</v>
      </c>
      <c r="AX33" s="36"/>
      <c r="AY33" s="36"/>
      <c r="AZ33" s="36"/>
    </row>
    <row r="34" spans="1:55" ht="15.8" customHeight="1" thickBot="1" x14ac:dyDescent="0.3">
      <c r="A34" s="346" t="s">
        <v>232</v>
      </c>
      <c r="B34" s="347">
        <v>0</v>
      </c>
      <c r="C34" s="348">
        <v>1</v>
      </c>
      <c r="D34" s="349">
        <v>0</v>
      </c>
      <c r="E34" s="350">
        <f t="shared" si="0"/>
        <v>1</v>
      </c>
      <c r="F34" s="182" t="s">
        <v>232</v>
      </c>
      <c r="G34" s="78">
        <v>0</v>
      </c>
      <c r="H34" s="325">
        <v>5</v>
      </c>
      <c r="I34" s="226">
        <v>0</v>
      </c>
      <c r="J34" s="204">
        <f t="shared" si="1"/>
        <v>5</v>
      </c>
      <c r="K34" s="346" t="s">
        <v>1003</v>
      </c>
      <c r="L34" s="352">
        <v>3</v>
      </c>
      <c r="M34" s="352">
        <v>6</v>
      </c>
      <c r="N34" s="353">
        <f t="shared" si="17"/>
        <v>50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C34" s="6" t="s">
        <v>15</v>
      </c>
      <c r="AD34" s="7" t="s">
        <v>15</v>
      </c>
      <c r="AE34" s="153" t="s">
        <v>15</v>
      </c>
      <c r="AF34" s="7" t="s">
        <v>15</v>
      </c>
      <c r="AG34" s="7" t="s">
        <v>15</v>
      </c>
      <c r="AH34" s="153" t="s">
        <v>15</v>
      </c>
      <c r="AI34" s="7" t="s">
        <v>15</v>
      </c>
      <c r="AJ34" s="7" t="s">
        <v>15</v>
      </c>
      <c r="AK34" s="153" t="s">
        <v>15</v>
      </c>
      <c r="AL34" s="7" t="s">
        <v>15</v>
      </c>
      <c r="AM34" s="7" t="s">
        <v>15</v>
      </c>
      <c r="AN34" s="153" t="s">
        <v>15</v>
      </c>
      <c r="AO34" s="7" t="s">
        <v>15</v>
      </c>
      <c r="AP34" s="7" t="s">
        <v>15</v>
      </c>
      <c r="AQ34" s="153" t="s">
        <v>15</v>
      </c>
      <c r="AR34" s="7" t="s">
        <v>15</v>
      </c>
      <c r="AS34" s="7" t="s">
        <v>15</v>
      </c>
      <c r="AT34" s="153" t="s">
        <v>15</v>
      </c>
      <c r="AU34" s="7" t="s">
        <v>15</v>
      </c>
      <c r="AV34" s="7" t="s">
        <v>15</v>
      </c>
      <c r="AW34" s="153" t="s">
        <v>15</v>
      </c>
      <c r="AX34" s="36"/>
      <c r="AY34" s="36"/>
      <c r="AZ34" s="36"/>
    </row>
    <row r="35" spans="1:55" ht="14.95" thickBot="1" x14ac:dyDescent="0.3">
      <c r="A35" s="346" t="s">
        <v>66</v>
      </c>
      <c r="B35" s="347">
        <v>3</v>
      </c>
      <c r="C35" s="348">
        <v>3</v>
      </c>
      <c r="D35" s="349">
        <v>0</v>
      </c>
      <c r="E35" s="350">
        <f t="shared" ref="E35:E55" si="18">SUM(B35:D35)</f>
        <v>6</v>
      </c>
      <c r="F35" s="182" t="s">
        <v>66</v>
      </c>
      <c r="G35" s="78">
        <v>15</v>
      </c>
      <c r="H35" s="325">
        <v>15</v>
      </c>
      <c r="I35" s="226">
        <v>0</v>
      </c>
      <c r="J35" s="204">
        <f t="shared" ref="J35:J55" si="19">SUM(G35:I35)</f>
        <v>30</v>
      </c>
      <c r="K35" s="341" t="s">
        <v>212</v>
      </c>
      <c r="L35" s="352" t="s">
        <v>15</v>
      </c>
      <c r="M35" s="352" t="s">
        <v>15</v>
      </c>
      <c r="N35" s="353" t="s">
        <v>15</v>
      </c>
      <c r="O35" s="7" t="s">
        <v>15</v>
      </c>
      <c r="P35" s="7" t="s">
        <v>15</v>
      </c>
      <c r="Q35" s="153" t="s">
        <v>15</v>
      </c>
      <c r="R35" s="7">
        <v>6</v>
      </c>
      <c r="S35" s="7">
        <v>6</v>
      </c>
      <c r="T35" s="153">
        <v>100</v>
      </c>
      <c r="U35" s="7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84" t="s">
        <v>15</v>
      </c>
      <c r="AG35" s="79" t="s">
        <v>15</v>
      </c>
      <c r="AH35" s="171" t="s">
        <v>15</v>
      </c>
      <c r="AI35" s="6" t="s">
        <v>15</v>
      </c>
      <c r="AJ35" s="152" t="s">
        <v>15</v>
      </c>
      <c r="AK35" s="152" t="s">
        <v>15</v>
      </c>
      <c r="AL35" s="6" t="s">
        <v>15</v>
      </c>
      <c r="AM35" s="152" t="s">
        <v>15</v>
      </c>
      <c r="AN35" s="152" t="s">
        <v>15</v>
      </c>
      <c r="AO35" s="148">
        <v>3</v>
      </c>
      <c r="AP35" s="7">
        <v>4</v>
      </c>
      <c r="AQ35" s="153">
        <f>SUM(AO35/AP35)*100</f>
        <v>75</v>
      </c>
      <c r="AR35" s="148">
        <v>27</v>
      </c>
      <c r="AS35" s="7">
        <v>36</v>
      </c>
      <c r="AT35" s="153">
        <f>SUM(AR35/AS35)*100</f>
        <v>75</v>
      </c>
      <c r="AU35" s="6" t="s">
        <v>15</v>
      </c>
      <c r="AV35" s="152" t="s">
        <v>15</v>
      </c>
      <c r="AW35" s="152" t="s">
        <v>15</v>
      </c>
      <c r="AX35" s="155"/>
      <c r="AY35" s="155"/>
      <c r="AZ35" s="155"/>
      <c r="BA35" s="119"/>
      <c r="BB35" s="119"/>
      <c r="BC35" s="119"/>
    </row>
    <row r="36" spans="1:55" ht="14.95" thickBot="1" x14ac:dyDescent="0.3">
      <c r="A36" s="346" t="s">
        <v>815</v>
      </c>
      <c r="B36" s="347">
        <v>0</v>
      </c>
      <c r="C36" s="348">
        <v>0</v>
      </c>
      <c r="D36" s="349">
        <v>1</v>
      </c>
      <c r="E36" s="350">
        <f t="shared" si="18"/>
        <v>1</v>
      </c>
      <c r="F36" s="182" t="s">
        <v>815</v>
      </c>
      <c r="G36" s="78">
        <v>0</v>
      </c>
      <c r="H36" s="325">
        <v>0</v>
      </c>
      <c r="I36" s="226">
        <v>5</v>
      </c>
      <c r="J36" s="204">
        <f t="shared" si="19"/>
        <v>5</v>
      </c>
      <c r="K36" s="341" t="s">
        <v>314</v>
      </c>
      <c r="L36" s="352" t="s">
        <v>15</v>
      </c>
      <c r="M36" s="352" t="s">
        <v>15</v>
      </c>
      <c r="N36" s="353" t="s">
        <v>15</v>
      </c>
      <c r="O36" s="7" t="s">
        <v>15</v>
      </c>
      <c r="P36" s="7" t="s">
        <v>15</v>
      </c>
      <c r="Q36" s="153" t="s">
        <v>15</v>
      </c>
      <c r="R36" s="7" t="s">
        <v>15</v>
      </c>
      <c r="S36" s="7" t="s">
        <v>15</v>
      </c>
      <c r="T36" s="153" t="s">
        <v>15</v>
      </c>
      <c r="U36" s="7" t="s">
        <v>15</v>
      </c>
      <c r="V36" s="7" t="s">
        <v>15</v>
      </c>
      <c r="W36" s="153" t="s">
        <v>15</v>
      </c>
      <c r="AC36" s="148" t="s">
        <v>15</v>
      </c>
      <c r="AD36" s="7" t="s">
        <v>15</v>
      </c>
      <c r="AE36" s="153" t="s">
        <v>15</v>
      </c>
      <c r="AF36" s="84" t="s">
        <v>15</v>
      </c>
      <c r="AG36" s="79" t="s">
        <v>15</v>
      </c>
      <c r="AH36" s="171" t="s">
        <v>15</v>
      </c>
      <c r="AI36" s="84" t="s">
        <v>15</v>
      </c>
      <c r="AJ36" s="79" t="s">
        <v>15</v>
      </c>
      <c r="AK36" s="171" t="s">
        <v>15</v>
      </c>
      <c r="AL36" s="6">
        <v>1</v>
      </c>
      <c r="AM36" s="152">
        <v>1</v>
      </c>
      <c r="AN36" s="152">
        <v>100</v>
      </c>
      <c r="AO36" s="148" t="s">
        <v>15</v>
      </c>
      <c r="AP36" s="7" t="s">
        <v>15</v>
      </c>
      <c r="AQ36" s="7" t="s">
        <v>15</v>
      </c>
      <c r="AR36" s="6" t="s">
        <v>15</v>
      </c>
      <c r="AS36" s="7" t="s">
        <v>15</v>
      </c>
      <c r="AT36" s="7" t="s">
        <v>15</v>
      </c>
      <c r="AU36" s="6" t="s">
        <v>15</v>
      </c>
      <c r="AV36" s="7" t="s">
        <v>15</v>
      </c>
      <c r="AW36" s="7" t="s">
        <v>15</v>
      </c>
      <c r="AX36" s="155"/>
      <c r="AY36" s="155"/>
      <c r="AZ36" s="155"/>
      <c r="BA36" s="119"/>
      <c r="BB36" s="119"/>
      <c r="BC36" s="119"/>
    </row>
    <row r="37" spans="1:55" ht="14.95" thickBot="1" x14ac:dyDescent="0.3">
      <c r="A37" s="346" t="s">
        <v>348</v>
      </c>
      <c r="B37" s="347">
        <v>1</v>
      </c>
      <c r="C37" s="348">
        <v>1</v>
      </c>
      <c r="D37" s="349">
        <v>0</v>
      </c>
      <c r="E37" s="350">
        <f t="shared" si="18"/>
        <v>2</v>
      </c>
      <c r="F37" s="182" t="s">
        <v>348</v>
      </c>
      <c r="G37" s="78">
        <v>5</v>
      </c>
      <c r="H37" s="325">
        <v>5</v>
      </c>
      <c r="I37" s="226">
        <v>0</v>
      </c>
      <c r="J37" s="204">
        <f t="shared" si="19"/>
        <v>10</v>
      </c>
      <c r="K37" s="471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AC37" s="471" t="s">
        <v>602</v>
      </c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/>
      <c r="AP37" s="464"/>
      <c r="AQ37" s="464"/>
      <c r="AR37" s="4"/>
    </row>
    <row r="38" spans="1:55" ht="14.95" thickBot="1" x14ac:dyDescent="0.3">
      <c r="A38" s="346" t="s">
        <v>4</v>
      </c>
      <c r="B38" s="347">
        <v>0</v>
      </c>
      <c r="C38" s="348">
        <v>2</v>
      </c>
      <c r="D38" s="349">
        <v>0</v>
      </c>
      <c r="E38" s="350">
        <f t="shared" si="18"/>
        <v>2</v>
      </c>
      <c r="F38" s="182" t="s">
        <v>4</v>
      </c>
      <c r="G38" s="78">
        <v>0</v>
      </c>
      <c r="H38" s="325">
        <v>14</v>
      </c>
      <c r="I38" s="226">
        <v>0</v>
      </c>
      <c r="J38" s="204">
        <f t="shared" si="19"/>
        <v>14</v>
      </c>
      <c r="K38" s="471" t="s">
        <v>1006</v>
      </c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AC38" s="463" t="s">
        <v>1015</v>
      </c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/>
      <c r="AP38" s="464"/>
      <c r="AQ38" s="464"/>
    </row>
    <row r="39" spans="1:55" ht="14.95" thickBot="1" x14ac:dyDescent="0.3">
      <c r="A39" s="346" t="s">
        <v>603</v>
      </c>
      <c r="B39" s="347">
        <v>1</v>
      </c>
      <c r="C39" s="348">
        <v>0</v>
      </c>
      <c r="D39" s="349">
        <v>0</v>
      </c>
      <c r="E39" s="350">
        <f t="shared" si="18"/>
        <v>1</v>
      </c>
      <c r="F39" s="182" t="s">
        <v>603</v>
      </c>
      <c r="G39" s="78">
        <v>5</v>
      </c>
      <c r="H39" s="325">
        <v>0</v>
      </c>
      <c r="I39" s="226">
        <v>0</v>
      </c>
      <c r="J39" s="204">
        <f t="shared" si="19"/>
        <v>5</v>
      </c>
      <c r="K39" s="471" t="s">
        <v>1045</v>
      </c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</row>
    <row r="40" spans="1:55" ht="14.95" thickBot="1" x14ac:dyDescent="0.3">
      <c r="A40" s="346" t="s">
        <v>76</v>
      </c>
      <c r="B40" s="347">
        <v>3</v>
      </c>
      <c r="C40" s="348">
        <v>1</v>
      </c>
      <c r="D40" s="349">
        <v>0</v>
      </c>
      <c r="E40" s="350">
        <f t="shared" si="18"/>
        <v>4</v>
      </c>
      <c r="F40" s="182" t="s">
        <v>76</v>
      </c>
      <c r="G40" s="78">
        <v>15</v>
      </c>
      <c r="H40" s="325">
        <v>5</v>
      </c>
      <c r="I40" s="226">
        <v>0</v>
      </c>
      <c r="J40" s="204">
        <f t="shared" si="19"/>
        <v>20</v>
      </c>
      <c r="K40" s="202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55" ht="14.95" customHeight="1" thickBot="1" x14ac:dyDescent="0.3">
      <c r="A41" s="346" t="s">
        <v>181</v>
      </c>
      <c r="B41" s="347">
        <v>0</v>
      </c>
      <c r="C41" s="348">
        <v>1</v>
      </c>
      <c r="D41" s="349">
        <v>0</v>
      </c>
      <c r="E41" s="350">
        <f t="shared" si="18"/>
        <v>1</v>
      </c>
      <c r="F41" s="182" t="s">
        <v>181</v>
      </c>
      <c r="G41" s="78">
        <v>0</v>
      </c>
      <c r="H41" s="325">
        <v>5</v>
      </c>
      <c r="I41" s="226">
        <v>0</v>
      </c>
      <c r="J41" s="204">
        <f t="shared" si="19"/>
        <v>5</v>
      </c>
    </row>
    <row r="42" spans="1:55" ht="14.95" customHeight="1" thickBot="1" x14ac:dyDescent="0.3">
      <c r="A42" s="346" t="s">
        <v>384</v>
      </c>
      <c r="B42" s="347">
        <v>2</v>
      </c>
      <c r="C42" s="348">
        <v>0</v>
      </c>
      <c r="D42" s="349">
        <v>0</v>
      </c>
      <c r="E42" s="350">
        <f t="shared" si="18"/>
        <v>2</v>
      </c>
      <c r="F42" s="182" t="s">
        <v>384</v>
      </c>
      <c r="G42" s="78">
        <v>10</v>
      </c>
      <c r="H42" s="325">
        <v>0</v>
      </c>
      <c r="I42" s="226">
        <v>0</v>
      </c>
      <c r="J42" s="204">
        <f t="shared" si="19"/>
        <v>10</v>
      </c>
    </row>
    <row r="43" spans="1:55" ht="14.95" customHeight="1" thickBot="1" x14ac:dyDescent="0.3">
      <c r="A43" s="346" t="s">
        <v>840</v>
      </c>
      <c r="B43" s="347">
        <v>0</v>
      </c>
      <c r="C43" s="348">
        <v>0</v>
      </c>
      <c r="D43" s="349">
        <v>0</v>
      </c>
      <c r="E43" s="350">
        <f t="shared" si="18"/>
        <v>0</v>
      </c>
      <c r="F43" s="182" t="s">
        <v>840</v>
      </c>
      <c r="G43" s="78">
        <v>0</v>
      </c>
      <c r="H43" s="325">
        <v>0</v>
      </c>
      <c r="I43" s="226">
        <v>0</v>
      </c>
      <c r="J43" s="204">
        <f t="shared" si="19"/>
        <v>0</v>
      </c>
      <c r="AJ43" s="4"/>
      <c r="AK43" s="4"/>
      <c r="AL43" s="4"/>
      <c r="AM43" s="4"/>
      <c r="AN43" s="4"/>
    </row>
    <row r="44" spans="1:55" ht="14.95" customHeight="1" thickBot="1" x14ac:dyDescent="0.3">
      <c r="A44" s="346" t="s">
        <v>527</v>
      </c>
      <c r="B44" s="347">
        <v>0</v>
      </c>
      <c r="C44" s="348">
        <v>0</v>
      </c>
      <c r="D44" s="349">
        <v>0</v>
      </c>
      <c r="E44" s="350">
        <f t="shared" si="18"/>
        <v>0</v>
      </c>
      <c r="F44" s="182" t="s">
        <v>527</v>
      </c>
      <c r="G44" s="78">
        <v>53</v>
      </c>
      <c r="H44" s="325">
        <v>51</v>
      </c>
      <c r="I44" s="226">
        <v>0</v>
      </c>
      <c r="J44" s="204">
        <f t="shared" si="19"/>
        <v>104</v>
      </c>
    </row>
    <row r="45" spans="1:55" ht="14.95" customHeight="1" thickBot="1" x14ac:dyDescent="0.3">
      <c r="A45" s="346" t="s">
        <v>1017</v>
      </c>
      <c r="B45" s="347">
        <v>1</v>
      </c>
      <c r="C45" s="348">
        <v>0</v>
      </c>
      <c r="D45" s="349">
        <v>1</v>
      </c>
      <c r="E45" s="350">
        <f t="shared" si="18"/>
        <v>2</v>
      </c>
      <c r="F45" s="182" t="s">
        <v>1017</v>
      </c>
      <c r="G45" s="78">
        <v>5</v>
      </c>
      <c r="H45" s="325">
        <v>0</v>
      </c>
      <c r="I45" s="226">
        <v>5</v>
      </c>
      <c r="J45" s="204">
        <f t="shared" si="19"/>
        <v>10</v>
      </c>
      <c r="AO45" s="4"/>
    </row>
    <row r="46" spans="1:55" ht="14.95" thickBot="1" x14ac:dyDescent="0.3">
      <c r="A46" s="346" t="s">
        <v>802</v>
      </c>
      <c r="B46" s="347">
        <v>0</v>
      </c>
      <c r="C46" s="348">
        <v>0</v>
      </c>
      <c r="D46" s="349">
        <v>0</v>
      </c>
      <c r="E46" s="350">
        <f t="shared" si="18"/>
        <v>0</v>
      </c>
      <c r="F46" s="182" t="s">
        <v>802</v>
      </c>
      <c r="G46" s="78">
        <v>0</v>
      </c>
      <c r="H46" s="325">
        <v>0</v>
      </c>
      <c r="I46" s="226">
        <v>0</v>
      </c>
      <c r="J46" s="204">
        <f t="shared" si="19"/>
        <v>0</v>
      </c>
      <c r="AO46" s="4"/>
    </row>
    <row r="47" spans="1:55" ht="14.95" thickBot="1" x14ac:dyDescent="0.3">
      <c r="A47" s="346" t="s">
        <v>522</v>
      </c>
      <c r="B47" s="347">
        <v>1</v>
      </c>
      <c r="C47" s="348">
        <v>1</v>
      </c>
      <c r="D47" s="349">
        <v>0</v>
      </c>
      <c r="E47" s="350">
        <f t="shared" si="18"/>
        <v>2</v>
      </c>
      <c r="F47" s="182" t="s">
        <v>522</v>
      </c>
      <c r="G47" s="78">
        <v>23</v>
      </c>
      <c r="H47" s="325">
        <v>5</v>
      </c>
      <c r="I47" s="226">
        <v>0</v>
      </c>
      <c r="J47" s="204">
        <f t="shared" si="19"/>
        <v>28</v>
      </c>
    </row>
    <row r="48" spans="1:55" ht="14.95" thickBot="1" x14ac:dyDescent="0.3">
      <c r="A48" s="346" t="s">
        <v>798</v>
      </c>
      <c r="B48" s="347">
        <v>0</v>
      </c>
      <c r="C48" s="348">
        <v>0</v>
      </c>
      <c r="D48" s="349">
        <v>1</v>
      </c>
      <c r="E48" s="350">
        <f t="shared" si="18"/>
        <v>1</v>
      </c>
      <c r="F48" s="182" t="s">
        <v>798</v>
      </c>
      <c r="G48" s="78">
        <v>0</v>
      </c>
      <c r="H48" s="325">
        <v>0</v>
      </c>
      <c r="I48" s="226">
        <v>5</v>
      </c>
      <c r="J48" s="204">
        <f t="shared" si="19"/>
        <v>5</v>
      </c>
    </row>
    <row r="49" spans="1:10" ht="14.95" thickBot="1" x14ac:dyDescent="0.3">
      <c r="A49" s="346" t="s">
        <v>68</v>
      </c>
      <c r="B49" s="347">
        <v>0</v>
      </c>
      <c r="C49" s="348">
        <v>0</v>
      </c>
      <c r="D49" s="349">
        <v>0</v>
      </c>
      <c r="E49" s="350">
        <f t="shared" si="18"/>
        <v>0</v>
      </c>
      <c r="F49" s="182" t="s">
        <v>68</v>
      </c>
      <c r="G49" s="78">
        <v>0</v>
      </c>
      <c r="H49" s="325">
        <v>0</v>
      </c>
      <c r="I49" s="226">
        <v>0</v>
      </c>
      <c r="J49" s="204">
        <f t="shared" si="19"/>
        <v>0</v>
      </c>
    </row>
    <row r="50" spans="1:10" ht="14.95" thickBot="1" x14ac:dyDescent="0.3">
      <c r="A50" s="346" t="s">
        <v>606</v>
      </c>
      <c r="B50" s="347">
        <v>0</v>
      </c>
      <c r="C50" s="348">
        <v>0</v>
      </c>
      <c r="D50" s="349">
        <v>2</v>
      </c>
      <c r="E50" s="350">
        <f t="shared" si="18"/>
        <v>2</v>
      </c>
      <c r="F50" s="182" t="s">
        <v>606</v>
      </c>
      <c r="G50" s="78">
        <v>0</v>
      </c>
      <c r="H50" s="325">
        <v>0</v>
      </c>
      <c r="I50" s="226">
        <v>10</v>
      </c>
      <c r="J50" s="204">
        <f t="shared" si="19"/>
        <v>10</v>
      </c>
    </row>
    <row r="51" spans="1:10" ht="14.95" thickBot="1" x14ac:dyDescent="0.3">
      <c r="A51" s="346" t="s">
        <v>67</v>
      </c>
      <c r="B51" s="347">
        <v>3</v>
      </c>
      <c r="C51" s="348">
        <v>0</v>
      </c>
      <c r="D51" s="349">
        <v>0</v>
      </c>
      <c r="E51" s="350">
        <f t="shared" si="18"/>
        <v>3</v>
      </c>
      <c r="F51" s="182" t="s">
        <v>67</v>
      </c>
      <c r="G51" s="78">
        <v>15</v>
      </c>
      <c r="H51" s="325">
        <v>0</v>
      </c>
      <c r="I51" s="226">
        <v>0</v>
      </c>
      <c r="J51" s="204">
        <f t="shared" si="19"/>
        <v>15</v>
      </c>
    </row>
    <row r="52" spans="1:10" ht="14.95" thickBot="1" x14ac:dyDescent="0.3">
      <c r="A52" s="346" t="s">
        <v>996</v>
      </c>
      <c r="B52" s="347">
        <v>0</v>
      </c>
      <c r="C52" s="348">
        <v>0</v>
      </c>
      <c r="D52" s="349">
        <v>0</v>
      </c>
      <c r="E52" s="350">
        <f t="shared" si="18"/>
        <v>0</v>
      </c>
      <c r="F52" s="182" t="s">
        <v>996</v>
      </c>
      <c r="G52" s="78">
        <v>0</v>
      </c>
      <c r="H52" s="325">
        <v>0</v>
      </c>
      <c r="I52" s="226">
        <v>0</v>
      </c>
      <c r="J52" s="204">
        <f t="shared" si="19"/>
        <v>0</v>
      </c>
    </row>
    <row r="53" spans="1:10" ht="14.95" thickBot="1" x14ac:dyDescent="0.3">
      <c r="A53" s="346" t="s">
        <v>460</v>
      </c>
      <c r="B53" s="347">
        <v>1</v>
      </c>
      <c r="C53" s="348">
        <v>0</v>
      </c>
      <c r="D53" s="349">
        <v>0</v>
      </c>
      <c r="E53" s="350">
        <f t="shared" si="18"/>
        <v>1</v>
      </c>
      <c r="F53" s="182" t="s">
        <v>460</v>
      </c>
      <c r="G53" s="78">
        <v>5</v>
      </c>
      <c r="H53" s="325">
        <v>0</v>
      </c>
      <c r="I53" s="226">
        <v>0</v>
      </c>
      <c r="J53" s="204">
        <f t="shared" si="19"/>
        <v>5</v>
      </c>
    </row>
    <row r="54" spans="1:10" ht="14.3" customHeight="1" thickBot="1" x14ac:dyDescent="0.3">
      <c r="A54" s="346" t="s">
        <v>78</v>
      </c>
      <c r="B54" s="347">
        <v>0</v>
      </c>
      <c r="C54" s="348">
        <v>0</v>
      </c>
      <c r="D54" s="349">
        <v>0</v>
      </c>
      <c r="E54" s="350">
        <f t="shared" si="18"/>
        <v>0</v>
      </c>
      <c r="F54" s="182" t="s">
        <v>78</v>
      </c>
      <c r="G54" s="78">
        <v>0</v>
      </c>
      <c r="H54" s="325">
        <v>0</v>
      </c>
      <c r="I54" s="226">
        <v>0</v>
      </c>
      <c r="J54" s="204">
        <f t="shared" si="19"/>
        <v>0</v>
      </c>
    </row>
    <row r="55" spans="1:10" ht="14.95" thickBot="1" x14ac:dyDescent="0.3">
      <c r="A55" s="346" t="s">
        <v>3</v>
      </c>
      <c r="B55" s="347">
        <f>SUM(B3:B54)</f>
        <v>46</v>
      </c>
      <c r="C55" s="348">
        <f>SUM(C3:C54)</f>
        <v>25</v>
      </c>
      <c r="D55" s="349">
        <f>SUM(D3:D54)</f>
        <v>16</v>
      </c>
      <c r="E55" s="350">
        <f t="shared" si="18"/>
        <v>87</v>
      </c>
      <c r="F55" s="181" t="s">
        <v>3</v>
      </c>
      <c r="G55" s="78">
        <f>SUM(G3:G54)</f>
        <v>313</v>
      </c>
      <c r="H55" s="325">
        <f>SUM(H3:H54)</f>
        <v>180</v>
      </c>
      <c r="I55" s="226">
        <f>SUM(I3:I54)</f>
        <v>100</v>
      </c>
      <c r="J55" s="204">
        <f t="shared" si="19"/>
        <v>593</v>
      </c>
    </row>
    <row r="56" spans="1:10" x14ac:dyDescent="0.25">
      <c r="A56" s="477"/>
      <c r="B56" s="478"/>
      <c r="C56" s="478"/>
      <c r="D56" s="478"/>
      <c r="E56" s="478"/>
      <c r="F56" s="478"/>
      <c r="G56" s="478"/>
      <c r="H56" s="478"/>
      <c r="I56" s="95"/>
    </row>
    <row r="57" spans="1:10" ht="14.95" thickBot="1" x14ac:dyDescent="0.3">
      <c r="A57" t="s">
        <v>502</v>
      </c>
      <c r="B57" s="132"/>
      <c r="C57" s="95"/>
      <c r="D57" s="95"/>
      <c r="E57" s="66"/>
      <c r="F57" s="36"/>
      <c r="G57" s="133"/>
      <c r="H57" s="96"/>
      <c r="I57" s="96"/>
      <c r="J57" s="36"/>
    </row>
    <row r="58" spans="1:10" ht="14.95" thickBot="1" x14ac:dyDescent="0.3">
      <c r="A58" s="341" t="s">
        <v>0</v>
      </c>
      <c r="B58" s="342" t="s">
        <v>226</v>
      </c>
      <c r="C58" s="343" t="s">
        <v>30</v>
      </c>
      <c r="D58" s="344" t="s">
        <v>339</v>
      </c>
      <c r="E58" s="345" t="s">
        <v>1</v>
      </c>
      <c r="F58" s="180" t="s">
        <v>2</v>
      </c>
      <c r="G58" s="109" t="s">
        <v>226</v>
      </c>
      <c r="H58" s="324" t="s">
        <v>30</v>
      </c>
      <c r="I58" s="225" t="s">
        <v>339</v>
      </c>
      <c r="J58" s="203" t="s">
        <v>1</v>
      </c>
    </row>
    <row r="59" spans="1:10" ht="14.95" thickBot="1" x14ac:dyDescent="0.3">
      <c r="A59" s="346" t="s">
        <v>997</v>
      </c>
      <c r="B59" s="347">
        <v>6</v>
      </c>
      <c r="C59" s="348">
        <v>2</v>
      </c>
      <c r="D59" s="349">
        <v>0</v>
      </c>
      <c r="E59" s="350">
        <f t="shared" ref="E59:E90" si="20">SUM(B59:D59)</f>
        <v>8</v>
      </c>
      <c r="F59" s="181" t="s">
        <v>527</v>
      </c>
      <c r="G59" s="78">
        <v>53</v>
      </c>
      <c r="H59" s="325">
        <v>51</v>
      </c>
      <c r="I59" s="226">
        <v>0</v>
      </c>
      <c r="J59" s="204">
        <f t="shared" ref="J59:J90" si="21">SUM(G59:I59)</f>
        <v>104</v>
      </c>
    </row>
    <row r="60" spans="1:10" ht="14.95" thickBot="1" x14ac:dyDescent="0.3">
      <c r="A60" s="346" t="s">
        <v>32</v>
      </c>
      <c r="B60" s="347">
        <v>3</v>
      </c>
      <c r="C60" s="348">
        <v>3</v>
      </c>
      <c r="D60" s="349">
        <v>0</v>
      </c>
      <c r="E60" s="350">
        <f t="shared" si="20"/>
        <v>6</v>
      </c>
      <c r="F60" s="181" t="s">
        <v>997</v>
      </c>
      <c r="G60" s="78">
        <v>30</v>
      </c>
      <c r="H60" s="325">
        <v>10</v>
      </c>
      <c r="I60" s="226">
        <v>0</v>
      </c>
      <c r="J60" s="204">
        <f t="shared" si="21"/>
        <v>40</v>
      </c>
    </row>
    <row r="61" spans="1:10" ht="14.95" thickBot="1" x14ac:dyDescent="0.3">
      <c r="A61" s="346" t="s">
        <v>66</v>
      </c>
      <c r="B61" s="347">
        <v>3</v>
      </c>
      <c r="C61" s="348">
        <v>3</v>
      </c>
      <c r="D61" s="349">
        <v>0</v>
      </c>
      <c r="E61" s="350">
        <f t="shared" si="20"/>
        <v>6</v>
      </c>
      <c r="F61" s="182" t="s">
        <v>210</v>
      </c>
      <c r="G61" s="78">
        <v>12</v>
      </c>
      <c r="H61" s="325">
        <v>0</v>
      </c>
      <c r="I61" s="226">
        <v>19</v>
      </c>
      <c r="J61" s="204">
        <f t="shared" si="21"/>
        <v>31</v>
      </c>
    </row>
    <row r="62" spans="1:10" ht="14.95" thickBot="1" x14ac:dyDescent="0.3">
      <c r="A62" s="346" t="s">
        <v>813</v>
      </c>
      <c r="B62" s="347">
        <v>2</v>
      </c>
      <c r="C62" s="348">
        <v>1</v>
      </c>
      <c r="D62" s="349">
        <v>2</v>
      </c>
      <c r="E62" s="350">
        <f t="shared" si="20"/>
        <v>5</v>
      </c>
      <c r="F62" s="182" t="s">
        <v>32</v>
      </c>
      <c r="G62" s="78">
        <v>15</v>
      </c>
      <c r="H62" s="325">
        <v>15</v>
      </c>
      <c r="I62" s="226">
        <v>0</v>
      </c>
      <c r="J62" s="204">
        <f t="shared" si="21"/>
        <v>30</v>
      </c>
    </row>
    <row r="63" spans="1:10" ht="14.95" thickBot="1" x14ac:dyDescent="0.3">
      <c r="A63" s="346" t="s">
        <v>311</v>
      </c>
      <c r="B63" s="347">
        <v>2</v>
      </c>
      <c r="C63" s="348">
        <v>0</v>
      </c>
      <c r="D63" s="349">
        <v>2</v>
      </c>
      <c r="E63" s="350">
        <f t="shared" si="20"/>
        <v>4</v>
      </c>
      <c r="F63" s="182" t="s">
        <v>66</v>
      </c>
      <c r="G63" s="78">
        <v>15</v>
      </c>
      <c r="H63" s="325">
        <v>15</v>
      </c>
      <c r="I63" s="226">
        <v>0</v>
      </c>
      <c r="J63" s="204">
        <f t="shared" si="21"/>
        <v>30</v>
      </c>
    </row>
    <row r="64" spans="1:10" ht="14.95" thickBot="1" x14ac:dyDescent="0.3">
      <c r="A64" s="346" t="s">
        <v>301</v>
      </c>
      <c r="B64" s="347">
        <v>3</v>
      </c>
      <c r="C64" s="348">
        <v>1</v>
      </c>
      <c r="D64" s="349">
        <v>0</v>
      </c>
      <c r="E64" s="350">
        <f t="shared" si="20"/>
        <v>4</v>
      </c>
      <c r="F64" s="182" t="s">
        <v>522</v>
      </c>
      <c r="G64" s="78">
        <v>23</v>
      </c>
      <c r="H64" s="325">
        <v>5</v>
      </c>
      <c r="I64" s="226">
        <v>0</v>
      </c>
      <c r="J64" s="204">
        <f t="shared" si="21"/>
        <v>28</v>
      </c>
    </row>
    <row r="65" spans="1:10" ht="14.95" thickBot="1" x14ac:dyDescent="0.3">
      <c r="A65" s="346" t="s">
        <v>995</v>
      </c>
      <c r="B65" s="347">
        <v>3</v>
      </c>
      <c r="C65" s="348">
        <v>0</v>
      </c>
      <c r="D65" s="349">
        <v>1</v>
      </c>
      <c r="E65" s="350">
        <f t="shared" si="20"/>
        <v>4</v>
      </c>
      <c r="F65" s="182" t="s">
        <v>813</v>
      </c>
      <c r="G65" s="78">
        <v>10</v>
      </c>
      <c r="H65" s="325">
        <v>5</v>
      </c>
      <c r="I65" s="226">
        <v>10</v>
      </c>
      <c r="J65" s="204">
        <f t="shared" si="21"/>
        <v>25</v>
      </c>
    </row>
    <row r="66" spans="1:10" ht="14.95" thickBot="1" x14ac:dyDescent="0.3">
      <c r="A66" s="346" t="s">
        <v>29</v>
      </c>
      <c r="B66" s="347">
        <v>1</v>
      </c>
      <c r="C66" s="348">
        <v>3</v>
      </c>
      <c r="D66" s="349">
        <v>0</v>
      </c>
      <c r="E66" s="350">
        <f t="shared" si="20"/>
        <v>4</v>
      </c>
      <c r="F66" s="182" t="s">
        <v>311</v>
      </c>
      <c r="G66" s="78">
        <v>10</v>
      </c>
      <c r="H66" s="325">
        <v>0</v>
      </c>
      <c r="I66" s="226">
        <v>10</v>
      </c>
      <c r="J66" s="204">
        <f t="shared" si="21"/>
        <v>20</v>
      </c>
    </row>
    <row r="67" spans="1:10" ht="14.95" thickBot="1" x14ac:dyDescent="0.3">
      <c r="A67" s="346" t="s">
        <v>76</v>
      </c>
      <c r="B67" s="347">
        <v>3</v>
      </c>
      <c r="C67" s="348">
        <v>1</v>
      </c>
      <c r="D67" s="349">
        <v>0</v>
      </c>
      <c r="E67" s="350">
        <f t="shared" si="20"/>
        <v>4</v>
      </c>
      <c r="F67" s="182" t="s">
        <v>279</v>
      </c>
      <c r="G67" s="78">
        <v>15</v>
      </c>
      <c r="H67" s="325">
        <v>5</v>
      </c>
      <c r="I67" s="226">
        <v>0</v>
      </c>
      <c r="J67" s="204">
        <f t="shared" si="21"/>
        <v>20</v>
      </c>
    </row>
    <row r="68" spans="1:10" ht="14.95" thickBot="1" x14ac:dyDescent="0.3">
      <c r="A68" s="346" t="s">
        <v>65</v>
      </c>
      <c r="B68" s="347">
        <v>1</v>
      </c>
      <c r="C68" s="348">
        <v>2</v>
      </c>
      <c r="D68" s="349">
        <v>0</v>
      </c>
      <c r="E68" s="350">
        <f t="shared" si="20"/>
        <v>3</v>
      </c>
      <c r="F68" s="182" t="s">
        <v>301</v>
      </c>
      <c r="G68" s="78">
        <v>15</v>
      </c>
      <c r="H68" s="325">
        <v>5</v>
      </c>
      <c r="I68" s="226">
        <v>0</v>
      </c>
      <c r="J68" s="204">
        <f t="shared" si="21"/>
        <v>20</v>
      </c>
    </row>
    <row r="69" spans="1:10" ht="14.95" thickBot="1" x14ac:dyDescent="0.3">
      <c r="A69" s="346" t="s">
        <v>210</v>
      </c>
      <c r="B69" s="347">
        <v>2</v>
      </c>
      <c r="C69" s="348">
        <v>0</v>
      </c>
      <c r="D69" s="349">
        <v>1</v>
      </c>
      <c r="E69" s="350">
        <f t="shared" si="20"/>
        <v>3</v>
      </c>
      <c r="F69" s="182" t="s">
        <v>995</v>
      </c>
      <c r="G69" s="78">
        <v>15</v>
      </c>
      <c r="H69" s="325">
        <v>0</v>
      </c>
      <c r="I69" s="226">
        <v>5</v>
      </c>
      <c r="J69" s="204">
        <f t="shared" si="21"/>
        <v>20</v>
      </c>
    </row>
    <row r="70" spans="1:10" ht="14.95" thickBot="1" x14ac:dyDescent="0.3">
      <c r="A70" s="346" t="s">
        <v>70</v>
      </c>
      <c r="B70" s="347">
        <v>3</v>
      </c>
      <c r="C70" s="348">
        <v>0</v>
      </c>
      <c r="D70" s="349">
        <v>0</v>
      </c>
      <c r="E70" s="350">
        <f t="shared" si="20"/>
        <v>3</v>
      </c>
      <c r="F70" s="182" t="s">
        <v>29</v>
      </c>
      <c r="G70" s="78">
        <v>5</v>
      </c>
      <c r="H70" s="325">
        <v>15</v>
      </c>
      <c r="I70" s="226">
        <v>0</v>
      </c>
      <c r="J70" s="204">
        <f t="shared" si="21"/>
        <v>20</v>
      </c>
    </row>
    <row r="71" spans="1:10" ht="14.95" thickBot="1" x14ac:dyDescent="0.3">
      <c r="A71" s="346" t="s">
        <v>67</v>
      </c>
      <c r="B71" s="347">
        <v>3</v>
      </c>
      <c r="C71" s="348">
        <v>0</v>
      </c>
      <c r="D71" s="349">
        <v>0</v>
      </c>
      <c r="E71" s="350">
        <f t="shared" si="20"/>
        <v>3</v>
      </c>
      <c r="F71" s="182" t="s">
        <v>76</v>
      </c>
      <c r="G71" s="78">
        <v>15</v>
      </c>
      <c r="H71" s="325">
        <v>5</v>
      </c>
      <c r="I71" s="226">
        <v>0</v>
      </c>
      <c r="J71" s="204">
        <f t="shared" si="21"/>
        <v>20</v>
      </c>
    </row>
    <row r="72" spans="1:10" ht="14.95" thickBot="1" x14ac:dyDescent="0.3">
      <c r="A72" s="346" t="s">
        <v>279</v>
      </c>
      <c r="B72" s="347">
        <v>1</v>
      </c>
      <c r="C72" s="348">
        <v>1</v>
      </c>
      <c r="D72" s="349">
        <v>0</v>
      </c>
      <c r="E72" s="350">
        <f t="shared" si="20"/>
        <v>2</v>
      </c>
      <c r="F72" s="182" t="s">
        <v>65</v>
      </c>
      <c r="G72" s="78">
        <v>5</v>
      </c>
      <c r="H72" s="325">
        <v>10</v>
      </c>
      <c r="I72" s="226">
        <v>0</v>
      </c>
      <c r="J72" s="204">
        <f t="shared" si="21"/>
        <v>15</v>
      </c>
    </row>
    <row r="73" spans="1:10" ht="14.95" thickBot="1" x14ac:dyDescent="0.3">
      <c r="A73" s="346" t="s">
        <v>999</v>
      </c>
      <c r="B73" s="347">
        <v>2</v>
      </c>
      <c r="C73" s="348">
        <v>0</v>
      </c>
      <c r="D73" s="349">
        <v>0</v>
      </c>
      <c r="E73" s="350">
        <f t="shared" si="20"/>
        <v>2</v>
      </c>
      <c r="F73" s="182" t="s">
        <v>70</v>
      </c>
      <c r="G73" s="78">
        <v>15</v>
      </c>
      <c r="H73" s="325">
        <v>0</v>
      </c>
      <c r="I73" s="226">
        <v>0</v>
      </c>
      <c r="J73" s="204">
        <f t="shared" si="21"/>
        <v>15</v>
      </c>
    </row>
    <row r="74" spans="1:10" ht="14.95" thickBot="1" x14ac:dyDescent="0.3">
      <c r="A74" s="346" t="s">
        <v>1001</v>
      </c>
      <c r="B74" s="347">
        <v>0</v>
      </c>
      <c r="C74" s="348">
        <v>0</v>
      </c>
      <c r="D74" s="349">
        <v>2</v>
      </c>
      <c r="E74" s="350">
        <f t="shared" si="20"/>
        <v>2</v>
      </c>
      <c r="F74" s="181" t="s">
        <v>67</v>
      </c>
      <c r="G74" s="78">
        <v>15</v>
      </c>
      <c r="H74" s="325">
        <v>0</v>
      </c>
      <c r="I74" s="226">
        <v>0</v>
      </c>
      <c r="J74" s="204">
        <f t="shared" si="21"/>
        <v>15</v>
      </c>
    </row>
    <row r="75" spans="1:10" ht="14.95" thickBot="1" x14ac:dyDescent="0.3">
      <c r="A75" s="346" t="s">
        <v>495</v>
      </c>
      <c r="B75" s="347">
        <v>0</v>
      </c>
      <c r="C75" s="348">
        <v>1</v>
      </c>
      <c r="D75" s="349">
        <v>1</v>
      </c>
      <c r="E75" s="350">
        <f t="shared" si="20"/>
        <v>2</v>
      </c>
      <c r="F75" s="182" t="s">
        <v>4</v>
      </c>
      <c r="G75" s="78">
        <v>0</v>
      </c>
      <c r="H75" s="325">
        <v>14</v>
      </c>
      <c r="I75" s="226">
        <v>0</v>
      </c>
      <c r="J75" s="204">
        <f t="shared" si="21"/>
        <v>14</v>
      </c>
    </row>
    <row r="76" spans="1:10" ht="14.95" thickBot="1" x14ac:dyDescent="0.3">
      <c r="A76" s="346" t="s">
        <v>348</v>
      </c>
      <c r="B76" s="347">
        <v>1</v>
      </c>
      <c r="C76" s="348">
        <v>1</v>
      </c>
      <c r="D76" s="349">
        <v>0</v>
      </c>
      <c r="E76" s="350">
        <f t="shared" si="20"/>
        <v>2</v>
      </c>
      <c r="F76" s="182" t="s">
        <v>999</v>
      </c>
      <c r="G76" s="78">
        <v>10</v>
      </c>
      <c r="H76" s="325">
        <v>0</v>
      </c>
      <c r="I76" s="226">
        <v>0</v>
      </c>
      <c r="J76" s="204">
        <f t="shared" si="21"/>
        <v>10</v>
      </c>
    </row>
    <row r="77" spans="1:10" ht="14.95" thickBot="1" x14ac:dyDescent="0.3">
      <c r="A77" s="346" t="s">
        <v>4</v>
      </c>
      <c r="B77" s="347">
        <v>0</v>
      </c>
      <c r="C77" s="348">
        <v>2</v>
      </c>
      <c r="D77" s="349">
        <v>0</v>
      </c>
      <c r="E77" s="350">
        <f t="shared" si="20"/>
        <v>2</v>
      </c>
      <c r="F77" s="182" t="s">
        <v>1001</v>
      </c>
      <c r="G77" s="78">
        <v>0</v>
      </c>
      <c r="H77" s="325">
        <v>0</v>
      </c>
      <c r="I77" s="226">
        <v>10</v>
      </c>
      <c r="J77" s="204">
        <f t="shared" si="21"/>
        <v>10</v>
      </c>
    </row>
    <row r="78" spans="1:10" ht="14.95" thickBot="1" x14ac:dyDescent="0.3">
      <c r="A78" s="346" t="s">
        <v>384</v>
      </c>
      <c r="B78" s="347">
        <v>2</v>
      </c>
      <c r="C78" s="348">
        <v>0</v>
      </c>
      <c r="D78" s="349">
        <v>0</v>
      </c>
      <c r="E78" s="350">
        <f t="shared" si="20"/>
        <v>2</v>
      </c>
      <c r="F78" s="182" t="s">
        <v>495</v>
      </c>
      <c r="G78" s="78">
        <v>0</v>
      </c>
      <c r="H78" s="325">
        <v>5</v>
      </c>
      <c r="I78" s="226">
        <v>5</v>
      </c>
      <c r="J78" s="204">
        <f t="shared" si="21"/>
        <v>10</v>
      </c>
    </row>
    <row r="79" spans="1:10" ht="14.95" thickBot="1" x14ac:dyDescent="0.3">
      <c r="A79" s="346" t="s">
        <v>1017</v>
      </c>
      <c r="B79" s="347">
        <v>1</v>
      </c>
      <c r="C79" s="348">
        <v>0</v>
      </c>
      <c r="D79" s="349">
        <v>1</v>
      </c>
      <c r="E79" s="350">
        <f t="shared" si="20"/>
        <v>2</v>
      </c>
      <c r="F79" s="182" t="s">
        <v>348</v>
      </c>
      <c r="G79" s="78">
        <v>5</v>
      </c>
      <c r="H79" s="325">
        <v>5</v>
      </c>
      <c r="I79" s="226">
        <v>0</v>
      </c>
      <c r="J79" s="204">
        <f t="shared" si="21"/>
        <v>10</v>
      </c>
    </row>
    <row r="80" spans="1:10" ht="14.95" thickBot="1" x14ac:dyDescent="0.3">
      <c r="A80" s="346" t="s">
        <v>522</v>
      </c>
      <c r="B80" s="347">
        <v>1</v>
      </c>
      <c r="C80" s="348">
        <v>1</v>
      </c>
      <c r="D80" s="349">
        <v>0</v>
      </c>
      <c r="E80" s="350">
        <f t="shared" si="20"/>
        <v>2</v>
      </c>
      <c r="F80" s="182" t="s">
        <v>384</v>
      </c>
      <c r="G80" s="78">
        <v>10</v>
      </c>
      <c r="H80" s="325">
        <v>0</v>
      </c>
      <c r="I80" s="226">
        <v>0</v>
      </c>
      <c r="J80" s="204">
        <f t="shared" si="21"/>
        <v>10</v>
      </c>
    </row>
    <row r="81" spans="1:10" ht="14.95" thickBot="1" x14ac:dyDescent="0.3">
      <c r="A81" s="346" t="s">
        <v>606</v>
      </c>
      <c r="B81" s="347">
        <v>0</v>
      </c>
      <c r="C81" s="348">
        <v>0</v>
      </c>
      <c r="D81" s="349">
        <v>2</v>
      </c>
      <c r="E81" s="350">
        <f t="shared" si="20"/>
        <v>2</v>
      </c>
      <c r="F81" s="182" t="s">
        <v>1017</v>
      </c>
      <c r="G81" s="78">
        <v>5</v>
      </c>
      <c r="H81" s="325">
        <v>0</v>
      </c>
      <c r="I81" s="226">
        <v>5</v>
      </c>
      <c r="J81" s="204">
        <f t="shared" si="21"/>
        <v>10</v>
      </c>
    </row>
    <row r="82" spans="1:10" ht="14.95" thickBot="1" x14ac:dyDescent="0.3">
      <c r="A82" s="346" t="s">
        <v>520</v>
      </c>
      <c r="B82" s="347">
        <v>1</v>
      </c>
      <c r="C82" s="348">
        <v>0</v>
      </c>
      <c r="D82" s="349">
        <v>0</v>
      </c>
      <c r="E82" s="350">
        <f t="shared" si="20"/>
        <v>1</v>
      </c>
      <c r="F82" s="182" t="s">
        <v>606</v>
      </c>
      <c r="G82" s="78">
        <v>0</v>
      </c>
      <c r="H82" s="325">
        <v>0</v>
      </c>
      <c r="I82" s="226">
        <v>10</v>
      </c>
      <c r="J82" s="204">
        <f t="shared" si="21"/>
        <v>10</v>
      </c>
    </row>
    <row r="83" spans="1:10" ht="14.95" thickBot="1" x14ac:dyDescent="0.3">
      <c r="A83" s="346" t="s">
        <v>463</v>
      </c>
      <c r="B83" s="347">
        <v>0</v>
      </c>
      <c r="C83" s="348">
        <v>1</v>
      </c>
      <c r="D83" s="349">
        <v>0</v>
      </c>
      <c r="E83" s="350">
        <f t="shared" si="20"/>
        <v>1</v>
      </c>
      <c r="F83" s="182" t="s">
        <v>1003</v>
      </c>
      <c r="G83" s="78">
        <v>0</v>
      </c>
      <c r="H83" s="325">
        <v>0</v>
      </c>
      <c r="I83" s="226">
        <v>6</v>
      </c>
      <c r="J83" s="204">
        <f t="shared" si="21"/>
        <v>6</v>
      </c>
    </row>
    <row r="84" spans="1:10" ht="14.95" thickBot="1" x14ac:dyDescent="0.3">
      <c r="A84" s="346" t="s">
        <v>862</v>
      </c>
      <c r="B84" s="347">
        <v>0</v>
      </c>
      <c r="C84" s="348">
        <v>0</v>
      </c>
      <c r="D84" s="349">
        <v>1</v>
      </c>
      <c r="E84" s="350">
        <f t="shared" si="20"/>
        <v>1</v>
      </c>
      <c r="F84" s="182" t="s">
        <v>520</v>
      </c>
      <c r="G84" s="78">
        <v>5</v>
      </c>
      <c r="H84" s="325">
        <v>0</v>
      </c>
      <c r="I84" s="226">
        <v>0</v>
      </c>
      <c r="J84" s="204">
        <f t="shared" si="21"/>
        <v>5</v>
      </c>
    </row>
    <row r="85" spans="1:10" ht="14.95" thickBot="1" x14ac:dyDescent="0.3">
      <c r="A85" s="346" t="s">
        <v>804</v>
      </c>
      <c r="B85" s="347">
        <v>0</v>
      </c>
      <c r="C85" s="348">
        <v>0</v>
      </c>
      <c r="D85" s="349">
        <v>1</v>
      </c>
      <c r="E85" s="350">
        <f t="shared" si="20"/>
        <v>1</v>
      </c>
      <c r="F85" s="182" t="s">
        <v>463</v>
      </c>
      <c r="G85" s="78">
        <v>0</v>
      </c>
      <c r="H85" s="325">
        <v>5</v>
      </c>
      <c r="I85" s="226">
        <v>0</v>
      </c>
      <c r="J85" s="204">
        <f t="shared" si="21"/>
        <v>5</v>
      </c>
    </row>
    <row r="86" spans="1:10" ht="14.95" thickBot="1" x14ac:dyDescent="0.3">
      <c r="A86" s="346" t="s">
        <v>232</v>
      </c>
      <c r="B86" s="347">
        <v>0</v>
      </c>
      <c r="C86" s="348">
        <v>1</v>
      </c>
      <c r="D86" s="349">
        <v>0</v>
      </c>
      <c r="E86" s="350">
        <f t="shared" si="20"/>
        <v>1</v>
      </c>
      <c r="F86" s="182" t="s">
        <v>862</v>
      </c>
      <c r="G86" s="78">
        <v>0</v>
      </c>
      <c r="H86" s="325">
        <v>0</v>
      </c>
      <c r="I86" s="226">
        <v>5</v>
      </c>
      <c r="J86" s="204">
        <f t="shared" si="21"/>
        <v>5</v>
      </c>
    </row>
    <row r="87" spans="1:10" ht="14.95" thickBot="1" x14ac:dyDescent="0.3">
      <c r="A87" s="346" t="s">
        <v>815</v>
      </c>
      <c r="B87" s="347">
        <v>0</v>
      </c>
      <c r="C87" s="348">
        <v>0</v>
      </c>
      <c r="D87" s="349">
        <v>1</v>
      </c>
      <c r="E87" s="350">
        <f t="shared" si="20"/>
        <v>1</v>
      </c>
      <c r="F87" s="182" t="s">
        <v>804</v>
      </c>
      <c r="G87" s="78">
        <v>0</v>
      </c>
      <c r="H87" s="325">
        <v>0</v>
      </c>
      <c r="I87" s="226">
        <v>5</v>
      </c>
      <c r="J87" s="204">
        <f t="shared" si="21"/>
        <v>5</v>
      </c>
    </row>
    <row r="88" spans="1:10" ht="14.95" thickBot="1" x14ac:dyDescent="0.3">
      <c r="A88" s="346" t="s">
        <v>603</v>
      </c>
      <c r="B88" s="347">
        <v>1</v>
      </c>
      <c r="C88" s="348">
        <v>0</v>
      </c>
      <c r="D88" s="349">
        <v>0</v>
      </c>
      <c r="E88" s="350">
        <f t="shared" si="20"/>
        <v>1</v>
      </c>
      <c r="F88" s="182" t="s">
        <v>232</v>
      </c>
      <c r="G88" s="78">
        <v>0</v>
      </c>
      <c r="H88" s="325">
        <v>5</v>
      </c>
      <c r="I88" s="226">
        <v>0</v>
      </c>
      <c r="J88" s="204">
        <f t="shared" si="21"/>
        <v>5</v>
      </c>
    </row>
    <row r="89" spans="1:10" ht="14.95" thickBot="1" x14ac:dyDescent="0.3">
      <c r="A89" s="346" t="s">
        <v>181</v>
      </c>
      <c r="B89" s="347">
        <v>0</v>
      </c>
      <c r="C89" s="348">
        <v>1</v>
      </c>
      <c r="D89" s="349">
        <v>0</v>
      </c>
      <c r="E89" s="350">
        <f t="shared" si="20"/>
        <v>1</v>
      </c>
      <c r="F89" s="182" t="s">
        <v>815</v>
      </c>
      <c r="G89" s="78">
        <v>0</v>
      </c>
      <c r="H89" s="325">
        <v>0</v>
      </c>
      <c r="I89" s="226">
        <v>5</v>
      </c>
      <c r="J89" s="204">
        <f t="shared" si="21"/>
        <v>5</v>
      </c>
    </row>
    <row r="90" spans="1:10" ht="14.95" thickBot="1" x14ac:dyDescent="0.3">
      <c r="A90" s="346" t="s">
        <v>798</v>
      </c>
      <c r="B90" s="347">
        <v>0</v>
      </c>
      <c r="C90" s="348">
        <v>0</v>
      </c>
      <c r="D90" s="349">
        <v>1</v>
      </c>
      <c r="E90" s="350">
        <f t="shared" si="20"/>
        <v>1</v>
      </c>
      <c r="F90" s="182" t="s">
        <v>603</v>
      </c>
      <c r="G90" s="78">
        <v>5</v>
      </c>
      <c r="H90" s="325">
        <v>0</v>
      </c>
      <c r="I90" s="226">
        <v>0</v>
      </c>
      <c r="J90" s="204">
        <f t="shared" si="21"/>
        <v>5</v>
      </c>
    </row>
    <row r="91" spans="1:10" ht="14.95" thickBot="1" x14ac:dyDescent="0.3">
      <c r="A91" s="346" t="s">
        <v>460</v>
      </c>
      <c r="B91" s="347">
        <v>1</v>
      </c>
      <c r="C91" s="348">
        <v>0</v>
      </c>
      <c r="D91" s="349">
        <v>0</v>
      </c>
      <c r="E91" s="350">
        <f t="shared" ref="E91:E122" si="22">SUM(B91:D91)</f>
        <v>1</v>
      </c>
      <c r="F91" s="182" t="s">
        <v>181</v>
      </c>
      <c r="G91" s="78">
        <v>0</v>
      </c>
      <c r="H91" s="325">
        <v>5</v>
      </c>
      <c r="I91" s="226">
        <v>0</v>
      </c>
      <c r="J91" s="204">
        <f t="shared" ref="J91:J122" si="23">SUM(G91:I91)</f>
        <v>5</v>
      </c>
    </row>
    <row r="92" spans="1:10" ht="14.95" thickBot="1" x14ac:dyDescent="0.3">
      <c r="A92" s="346" t="s">
        <v>77</v>
      </c>
      <c r="B92" s="347">
        <v>0</v>
      </c>
      <c r="C92" s="348">
        <v>0</v>
      </c>
      <c r="D92" s="349">
        <v>0</v>
      </c>
      <c r="E92" s="350">
        <f t="shared" si="22"/>
        <v>0</v>
      </c>
      <c r="F92" s="182" t="s">
        <v>798</v>
      </c>
      <c r="G92" s="78">
        <v>0</v>
      </c>
      <c r="H92" s="325">
        <v>0</v>
      </c>
      <c r="I92" s="226">
        <v>5</v>
      </c>
      <c r="J92" s="204">
        <f t="shared" si="23"/>
        <v>5</v>
      </c>
    </row>
    <row r="93" spans="1:10" ht="14.95" thickBot="1" x14ac:dyDescent="0.3">
      <c r="A93" s="346" t="s">
        <v>549</v>
      </c>
      <c r="B93" s="347">
        <v>0</v>
      </c>
      <c r="C93" s="348">
        <v>0</v>
      </c>
      <c r="D93" s="349">
        <v>0</v>
      </c>
      <c r="E93" s="350">
        <f t="shared" si="22"/>
        <v>0</v>
      </c>
      <c r="F93" s="182" t="s">
        <v>460</v>
      </c>
      <c r="G93" s="78">
        <v>5</v>
      </c>
      <c r="H93" s="325">
        <v>0</v>
      </c>
      <c r="I93" s="226">
        <v>0</v>
      </c>
      <c r="J93" s="204">
        <f t="shared" si="23"/>
        <v>5</v>
      </c>
    </row>
    <row r="94" spans="1:10" ht="14.95" thickBot="1" x14ac:dyDescent="0.3">
      <c r="A94" s="346" t="s">
        <v>860</v>
      </c>
      <c r="B94" s="347">
        <v>0</v>
      </c>
      <c r="C94" s="348">
        <v>0</v>
      </c>
      <c r="D94" s="349">
        <v>0</v>
      </c>
      <c r="E94" s="350">
        <f t="shared" si="22"/>
        <v>0</v>
      </c>
      <c r="F94" s="182" t="s">
        <v>77</v>
      </c>
      <c r="G94" s="78">
        <v>0</v>
      </c>
      <c r="H94" s="325">
        <v>0</v>
      </c>
      <c r="I94" s="226">
        <v>0</v>
      </c>
      <c r="J94" s="204">
        <f t="shared" si="23"/>
        <v>0</v>
      </c>
    </row>
    <row r="95" spans="1:10" ht="14.95" thickBot="1" x14ac:dyDescent="0.3">
      <c r="A95" s="346" t="s">
        <v>36</v>
      </c>
      <c r="B95" s="347">
        <v>0</v>
      </c>
      <c r="C95" s="348">
        <v>0</v>
      </c>
      <c r="D95" s="349">
        <v>0</v>
      </c>
      <c r="E95" s="350">
        <f t="shared" si="22"/>
        <v>0</v>
      </c>
      <c r="F95" s="182" t="s">
        <v>549</v>
      </c>
      <c r="G95" s="78">
        <v>0</v>
      </c>
      <c r="H95" s="325">
        <v>0</v>
      </c>
      <c r="I95" s="226">
        <v>0</v>
      </c>
      <c r="J95" s="204">
        <f t="shared" si="23"/>
        <v>0</v>
      </c>
    </row>
    <row r="96" spans="1:10" ht="14.95" thickBot="1" x14ac:dyDescent="0.3">
      <c r="A96" s="346" t="s">
        <v>229</v>
      </c>
      <c r="B96" s="347">
        <v>0</v>
      </c>
      <c r="C96" s="348">
        <v>0</v>
      </c>
      <c r="D96" s="349">
        <v>0</v>
      </c>
      <c r="E96" s="350">
        <f t="shared" si="22"/>
        <v>0</v>
      </c>
      <c r="F96" s="182" t="s">
        <v>860</v>
      </c>
      <c r="G96" s="78">
        <v>0</v>
      </c>
      <c r="H96" s="325">
        <v>0</v>
      </c>
      <c r="I96" s="226">
        <v>0</v>
      </c>
      <c r="J96" s="204">
        <f t="shared" si="23"/>
        <v>0</v>
      </c>
    </row>
    <row r="97" spans="1:10" ht="14.95" thickBot="1" x14ac:dyDescent="0.3">
      <c r="A97" s="346" t="s">
        <v>1000</v>
      </c>
      <c r="B97" s="347">
        <v>0</v>
      </c>
      <c r="C97" s="348">
        <v>0</v>
      </c>
      <c r="D97" s="349">
        <v>0</v>
      </c>
      <c r="E97" s="350">
        <f t="shared" si="22"/>
        <v>0</v>
      </c>
      <c r="F97" s="182" t="s">
        <v>36</v>
      </c>
      <c r="G97" s="78">
        <v>0</v>
      </c>
      <c r="H97" s="325">
        <v>0</v>
      </c>
      <c r="I97" s="226">
        <v>0</v>
      </c>
      <c r="J97" s="204">
        <f t="shared" si="23"/>
        <v>0</v>
      </c>
    </row>
    <row r="98" spans="1:10" ht="14.95" thickBot="1" x14ac:dyDescent="0.3">
      <c r="A98" s="346" t="s">
        <v>202</v>
      </c>
      <c r="B98" s="347">
        <v>0</v>
      </c>
      <c r="C98" s="348">
        <v>0</v>
      </c>
      <c r="D98" s="349">
        <v>0</v>
      </c>
      <c r="E98" s="350">
        <f t="shared" si="22"/>
        <v>0</v>
      </c>
      <c r="F98" s="182" t="s">
        <v>229</v>
      </c>
      <c r="G98" s="78">
        <v>0</v>
      </c>
      <c r="H98" s="325">
        <v>0</v>
      </c>
      <c r="I98" s="226">
        <v>0</v>
      </c>
      <c r="J98" s="204">
        <f t="shared" si="23"/>
        <v>0</v>
      </c>
    </row>
    <row r="99" spans="1:10" ht="14.95" thickBot="1" x14ac:dyDescent="0.3">
      <c r="A99" s="346" t="s">
        <v>465</v>
      </c>
      <c r="B99" s="347">
        <v>0</v>
      </c>
      <c r="C99" s="348">
        <v>0</v>
      </c>
      <c r="D99" s="349">
        <v>0</v>
      </c>
      <c r="E99" s="350">
        <f t="shared" si="22"/>
        <v>0</v>
      </c>
      <c r="F99" s="182" t="s">
        <v>1000</v>
      </c>
      <c r="G99" s="78">
        <v>0</v>
      </c>
      <c r="H99" s="325">
        <v>0</v>
      </c>
      <c r="I99" s="226">
        <v>0</v>
      </c>
      <c r="J99" s="204">
        <f t="shared" si="23"/>
        <v>0</v>
      </c>
    </row>
    <row r="100" spans="1:10" ht="14.95" thickBot="1" x14ac:dyDescent="0.3">
      <c r="A100" s="346" t="s">
        <v>870</v>
      </c>
      <c r="B100" s="347">
        <v>0</v>
      </c>
      <c r="C100" s="348">
        <v>0</v>
      </c>
      <c r="D100" s="349">
        <v>0</v>
      </c>
      <c r="E100" s="350">
        <f t="shared" si="22"/>
        <v>0</v>
      </c>
      <c r="F100" s="182" t="s">
        <v>202</v>
      </c>
      <c r="G100" s="78">
        <v>0</v>
      </c>
      <c r="H100" s="325">
        <v>0</v>
      </c>
      <c r="I100" s="226">
        <v>0</v>
      </c>
      <c r="J100" s="204">
        <f t="shared" si="23"/>
        <v>0</v>
      </c>
    </row>
    <row r="101" spans="1:10" ht="14.95" thickBot="1" x14ac:dyDescent="0.3">
      <c r="A101" s="346" t="s">
        <v>864</v>
      </c>
      <c r="B101" s="347">
        <v>0</v>
      </c>
      <c r="C101" s="348">
        <v>0</v>
      </c>
      <c r="D101" s="349">
        <v>0</v>
      </c>
      <c r="E101" s="350">
        <f t="shared" si="22"/>
        <v>0</v>
      </c>
      <c r="F101" s="182" t="s">
        <v>465</v>
      </c>
      <c r="G101" s="78">
        <v>0</v>
      </c>
      <c r="H101" s="325">
        <v>0</v>
      </c>
      <c r="I101" s="226">
        <v>0</v>
      </c>
      <c r="J101" s="204">
        <f t="shared" si="23"/>
        <v>0</v>
      </c>
    </row>
    <row r="102" spans="1:10" ht="14.95" thickBot="1" x14ac:dyDescent="0.3">
      <c r="A102" s="346" t="s">
        <v>1003</v>
      </c>
      <c r="B102" s="347">
        <v>0</v>
      </c>
      <c r="C102" s="348">
        <v>0</v>
      </c>
      <c r="D102" s="349">
        <v>0</v>
      </c>
      <c r="E102" s="350">
        <f t="shared" si="22"/>
        <v>0</v>
      </c>
      <c r="F102" s="182" t="s">
        <v>870</v>
      </c>
      <c r="G102" s="78">
        <v>0</v>
      </c>
      <c r="H102" s="325">
        <v>0</v>
      </c>
      <c r="I102" s="226">
        <v>0</v>
      </c>
      <c r="J102" s="204">
        <f t="shared" si="23"/>
        <v>0</v>
      </c>
    </row>
    <row r="103" spans="1:10" ht="14.95" thickBot="1" x14ac:dyDescent="0.3">
      <c r="A103" s="346" t="s">
        <v>604</v>
      </c>
      <c r="B103" s="347">
        <v>0</v>
      </c>
      <c r="C103" s="348">
        <v>0</v>
      </c>
      <c r="D103" s="349">
        <v>0</v>
      </c>
      <c r="E103" s="350">
        <f t="shared" si="22"/>
        <v>0</v>
      </c>
      <c r="F103" s="182" t="s">
        <v>864</v>
      </c>
      <c r="G103" s="78">
        <v>0</v>
      </c>
      <c r="H103" s="325">
        <v>0</v>
      </c>
      <c r="I103" s="226">
        <v>0</v>
      </c>
      <c r="J103" s="204">
        <f t="shared" si="23"/>
        <v>0</v>
      </c>
    </row>
    <row r="104" spans="1:10" ht="14.95" thickBot="1" x14ac:dyDescent="0.3">
      <c r="A104" s="346" t="s">
        <v>1002</v>
      </c>
      <c r="B104" s="347">
        <v>0</v>
      </c>
      <c r="C104" s="348">
        <v>0</v>
      </c>
      <c r="D104" s="349">
        <v>0</v>
      </c>
      <c r="E104" s="350">
        <f t="shared" si="22"/>
        <v>0</v>
      </c>
      <c r="F104" s="182" t="s">
        <v>604</v>
      </c>
      <c r="G104" s="78">
        <v>0</v>
      </c>
      <c r="H104" s="325">
        <v>0</v>
      </c>
      <c r="I104" s="226">
        <v>0</v>
      </c>
      <c r="J104" s="204">
        <f t="shared" si="23"/>
        <v>0</v>
      </c>
    </row>
    <row r="105" spans="1:10" ht="14.95" thickBot="1" x14ac:dyDescent="0.3">
      <c r="A105" s="346" t="s">
        <v>840</v>
      </c>
      <c r="B105" s="347">
        <v>0</v>
      </c>
      <c r="C105" s="348">
        <v>0</v>
      </c>
      <c r="D105" s="349">
        <v>0</v>
      </c>
      <c r="E105" s="350">
        <f t="shared" si="22"/>
        <v>0</v>
      </c>
      <c r="F105" s="182" t="s">
        <v>1002</v>
      </c>
      <c r="G105" s="78">
        <v>0</v>
      </c>
      <c r="H105" s="325">
        <v>0</v>
      </c>
      <c r="I105" s="226">
        <v>0</v>
      </c>
      <c r="J105" s="204">
        <f t="shared" si="23"/>
        <v>0</v>
      </c>
    </row>
    <row r="106" spans="1:10" ht="14.95" thickBot="1" x14ac:dyDescent="0.3">
      <c r="A106" s="346" t="s">
        <v>527</v>
      </c>
      <c r="B106" s="347">
        <v>0</v>
      </c>
      <c r="C106" s="348">
        <v>0</v>
      </c>
      <c r="D106" s="349">
        <v>0</v>
      </c>
      <c r="E106" s="350">
        <f t="shared" si="22"/>
        <v>0</v>
      </c>
      <c r="F106" s="182" t="s">
        <v>840</v>
      </c>
      <c r="G106" s="78">
        <v>0</v>
      </c>
      <c r="H106" s="325">
        <v>0</v>
      </c>
      <c r="I106" s="226">
        <v>0</v>
      </c>
      <c r="J106" s="204">
        <f t="shared" si="23"/>
        <v>0</v>
      </c>
    </row>
    <row r="107" spans="1:10" ht="14.95" thickBot="1" x14ac:dyDescent="0.3">
      <c r="A107" s="346" t="s">
        <v>802</v>
      </c>
      <c r="B107" s="347">
        <v>0</v>
      </c>
      <c r="C107" s="348">
        <v>0</v>
      </c>
      <c r="D107" s="349">
        <v>0</v>
      </c>
      <c r="E107" s="350">
        <f t="shared" si="22"/>
        <v>0</v>
      </c>
      <c r="F107" s="182" t="s">
        <v>802</v>
      </c>
      <c r="G107" s="78">
        <v>0</v>
      </c>
      <c r="H107" s="325">
        <v>0</v>
      </c>
      <c r="I107" s="226">
        <v>0</v>
      </c>
      <c r="J107" s="204">
        <f t="shared" si="23"/>
        <v>0</v>
      </c>
    </row>
    <row r="108" spans="1:10" ht="14.95" thickBot="1" x14ac:dyDescent="0.3">
      <c r="A108" s="346" t="s">
        <v>68</v>
      </c>
      <c r="B108" s="347">
        <v>0</v>
      </c>
      <c r="C108" s="348">
        <v>0</v>
      </c>
      <c r="D108" s="349">
        <v>0</v>
      </c>
      <c r="E108" s="350">
        <f t="shared" si="22"/>
        <v>0</v>
      </c>
      <c r="F108" s="182" t="s">
        <v>68</v>
      </c>
      <c r="G108" s="78">
        <v>0</v>
      </c>
      <c r="H108" s="325">
        <v>0</v>
      </c>
      <c r="I108" s="226">
        <v>0</v>
      </c>
      <c r="J108" s="204">
        <f t="shared" si="23"/>
        <v>0</v>
      </c>
    </row>
    <row r="109" spans="1:10" ht="14.95" thickBot="1" x14ac:dyDescent="0.3">
      <c r="A109" s="346" t="s">
        <v>996</v>
      </c>
      <c r="B109" s="347">
        <v>0</v>
      </c>
      <c r="C109" s="348">
        <v>0</v>
      </c>
      <c r="D109" s="349">
        <v>0</v>
      </c>
      <c r="E109" s="350">
        <f t="shared" si="22"/>
        <v>0</v>
      </c>
      <c r="F109" s="182" t="s">
        <v>996</v>
      </c>
      <c r="G109" s="78">
        <v>0</v>
      </c>
      <c r="H109" s="325">
        <v>0</v>
      </c>
      <c r="I109" s="226">
        <v>0</v>
      </c>
      <c r="J109" s="204">
        <f t="shared" si="23"/>
        <v>0</v>
      </c>
    </row>
    <row r="110" spans="1:10" ht="14.95" thickBot="1" x14ac:dyDescent="0.3">
      <c r="A110" s="346" t="s">
        <v>78</v>
      </c>
      <c r="B110" s="347">
        <v>0</v>
      </c>
      <c r="C110" s="348">
        <v>0</v>
      </c>
      <c r="D110" s="349">
        <v>0</v>
      </c>
      <c r="E110" s="350">
        <f t="shared" si="22"/>
        <v>0</v>
      </c>
      <c r="F110" s="182" t="s">
        <v>78</v>
      </c>
      <c r="G110" s="78">
        <v>0</v>
      </c>
      <c r="H110" s="325">
        <v>0</v>
      </c>
      <c r="I110" s="226">
        <v>0</v>
      </c>
      <c r="J110" s="204">
        <f t="shared" si="23"/>
        <v>0</v>
      </c>
    </row>
    <row r="111" spans="1:10" ht="14.95" thickBot="1" x14ac:dyDescent="0.3">
      <c r="A111" s="346" t="s">
        <v>3</v>
      </c>
      <c r="B111" s="347">
        <f>SUM(B59:B110)</f>
        <v>46</v>
      </c>
      <c r="C111" s="348">
        <f>SUM(C59:C110)</f>
        <v>25</v>
      </c>
      <c r="D111" s="349">
        <f>SUM(D59:D110)</f>
        <v>16</v>
      </c>
      <c r="E111" s="350">
        <f t="shared" ref="E111" si="24">SUM(B111:D111)</f>
        <v>87</v>
      </c>
      <c r="F111" s="181" t="s">
        <v>3</v>
      </c>
      <c r="G111" s="78">
        <f>SUM(G59:G110)</f>
        <v>313</v>
      </c>
      <c r="H111" s="325">
        <f>SUM(H59:H110)</f>
        <v>180</v>
      </c>
      <c r="I111" s="226">
        <f>SUM(I59:I110)</f>
        <v>100</v>
      </c>
      <c r="J111" s="204">
        <f t="shared" ref="J111" si="25">SUM(G111:I111)</f>
        <v>593</v>
      </c>
    </row>
    <row r="112" spans="1:10" x14ac:dyDescent="0.25">
      <c r="A112" s="455" t="s">
        <v>34</v>
      </c>
      <c r="B112" s="456"/>
      <c r="C112" s="456"/>
    </row>
  </sheetData>
  <sortState xmlns:xlrd2="http://schemas.microsoft.com/office/spreadsheetml/2017/richdata2" ref="F59:J110">
    <sortCondition descending="1" ref="J59:J110"/>
  </sortState>
  <mergeCells count="65">
    <mergeCell ref="A1:J1"/>
    <mergeCell ref="R1:S2"/>
    <mergeCell ref="R13:T14"/>
    <mergeCell ref="K13:K14"/>
    <mergeCell ref="K1:K2"/>
    <mergeCell ref="L1:N2"/>
    <mergeCell ref="L13:N14"/>
    <mergeCell ref="O13:Q14"/>
    <mergeCell ref="O1:Q2"/>
    <mergeCell ref="K20:K21"/>
    <mergeCell ref="L20:N21"/>
    <mergeCell ref="R20:T21"/>
    <mergeCell ref="R28:T29"/>
    <mergeCell ref="U20:W21"/>
    <mergeCell ref="U28:W29"/>
    <mergeCell ref="A56:H56"/>
    <mergeCell ref="AO20:AQ21"/>
    <mergeCell ref="AO28:AQ29"/>
    <mergeCell ref="K37:Y37"/>
    <mergeCell ref="K38:Y38"/>
    <mergeCell ref="AF20:AH21"/>
    <mergeCell ref="AF28:AH29"/>
    <mergeCell ref="O20:Q21"/>
    <mergeCell ref="O28:Q29"/>
    <mergeCell ref="AL20:AN21"/>
    <mergeCell ref="AL28:AN29"/>
    <mergeCell ref="K28:K29"/>
    <mergeCell ref="L28:N29"/>
    <mergeCell ref="AI20:AK21"/>
    <mergeCell ref="AI28:AK29"/>
    <mergeCell ref="K39:Y39"/>
    <mergeCell ref="W1:Y2"/>
    <mergeCell ref="T1:V2"/>
    <mergeCell ref="AL1:AN2"/>
    <mergeCell ref="AO13:AQ14"/>
    <mergeCell ref="U13:W14"/>
    <mergeCell ref="AI1:AK2"/>
    <mergeCell ref="AI13:AK14"/>
    <mergeCell ref="AL13:AN14"/>
    <mergeCell ref="AF1:AH2"/>
    <mergeCell ref="AF13:AH14"/>
    <mergeCell ref="AC13:AE14"/>
    <mergeCell ref="AC37:AQ37"/>
    <mergeCell ref="AU20:AW21"/>
    <mergeCell ref="AC1:AE2"/>
    <mergeCell ref="AR1:AT2"/>
    <mergeCell ref="AR13:AT14"/>
    <mergeCell ref="AO1:AQ2"/>
    <mergeCell ref="AC20:AE21"/>
    <mergeCell ref="A112:C112"/>
    <mergeCell ref="AC28:AE29"/>
    <mergeCell ref="AC38:AQ38"/>
    <mergeCell ref="AR28:AT29"/>
    <mergeCell ref="BG1:BI2"/>
    <mergeCell ref="BA1:BC2"/>
    <mergeCell ref="AX1:AZ2"/>
    <mergeCell ref="BD1:BF2"/>
    <mergeCell ref="BA13:BC14"/>
    <mergeCell ref="AX13:AZ14"/>
    <mergeCell ref="AR20:AT21"/>
    <mergeCell ref="AU1:AW2"/>
    <mergeCell ref="AU13:AW14"/>
    <mergeCell ref="AX20:AZ21"/>
    <mergeCell ref="BA20:BC21"/>
    <mergeCell ref="AU28:AW2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BH112"/>
  <sheetViews>
    <sheetView tabSelected="1" workbookViewId="0">
      <selection activeCell="Q65" sqref="Q65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1" width="5.75" customWidth="1"/>
    <col min="52" max="60" width="5.625" customWidth="1"/>
  </cols>
  <sheetData>
    <row r="1" spans="1:60" ht="17" thickBot="1" x14ac:dyDescent="0.3">
      <c r="A1" s="561" t="s">
        <v>936</v>
      </c>
      <c r="B1" s="562"/>
      <c r="C1" s="562"/>
      <c r="D1" s="562"/>
      <c r="E1" s="562"/>
      <c r="F1" s="562"/>
      <c r="G1" s="562"/>
      <c r="H1" s="562"/>
      <c r="I1" s="562"/>
      <c r="J1" s="563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60"/>
      <c r="AA1" s="94"/>
      <c r="AB1" s="457" t="s">
        <v>601</v>
      </c>
      <c r="AC1" s="458"/>
      <c r="AD1" s="459"/>
      <c r="AE1" s="457" t="s">
        <v>494</v>
      </c>
      <c r="AF1" s="458"/>
      <c r="AG1" s="459"/>
      <c r="AH1" s="457" t="s">
        <v>408</v>
      </c>
      <c r="AI1" s="458"/>
      <c r="AJ1" s="459"/>
      <c r="AK1" s="457" t="s">
        <v>313</v>
      </c>
      <c r="AL1" s="458"/>
      <c r="AM1" s="459"/>
      <c r="AN1" s="457" t="s">
        <v>227</v>
      </c>
      <c r="AO1" s="458"/>
      <c r="AP1" s="459"/>
      <c r="AQ1" s="457" t="s">
        <v>172</v>
      </c>
      <c r="AR1" s="458"/>
      <c r="AS1" s="459"/>
      <c r="AT1" s="457" t="s">
        <v>79</v>
      </c>
      <c r="AU1" s="458"/>
      <c r="AV1" s="459"/>
      <c r="AW1" s="457" t="s">
        <v>54</v>
      </c>
      <c r="AX1" s="458"/>
      <c r="AY1" s="459"/>
      <c r="AZ1" s="457" t="s">
        <v>50</v>
      </c>
      <c r="BA1" s="458"/>
      <c r="BB1" s="459"/>
      <c r="BC1" s="457" t="s">
        <v>37</v>
      </c>
      <c r="BD1" s="458"/>
      <c r="BE1" s="459"/>
      <c r="BF1" s="457" t="s">
        <v>45</v>
      </c>
      <c r="BG1" s="458"/>
      <c r="BH1" s="459"/>
    </row>
    <row r="2" spans="1:60" ht="14.95" customHeight="1" thickBot="1" x14ac:dyDescent="0.3">
      <c r="A2" s="288" t="s">
        <v>0</v>
      </c>
      <c r="B2" s="206" t="s">
        <v>226</v>
      </c>
      <c r="C2" s="258" t="s">
        <v>30</v>
      </c>
      <c r="D2" s="236" t="s">
        <v>339</v>
      </c>
      <c r="E2" s="290" t="s">
        <v>1</v>
      </c>
      <c r="F2" s="241" t="s">
        <v>2</v>
      </c>
      <c r="G2" s="240" t="s">
        <v>226</v>
      </c>
      <c r="H2" s="332" t="s">
        <v>30</v>
      </c>
      <c r="I2" s="238" t="s">
        <v>339</v>
      </c>
      <c r="J2" s="239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94"/>
      <c r="AA2" s="94"/>
      <c r="AB2" s="460"/>
      <c r="AC2" s="461"/>
      <c r="AD2" s="462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  <c r="BF2" s="460"/>
      <c r="BG2" s="461"/>
      <c r="BH2" s="462"/>
    </row>
    <row r="3" spans="1:60" ht="14.95" customHeight="1" thickBot="1" x14ac:dyDescent="0.3">
      <c r="A3" s="289" t="s">
        <v>1079</v>
      </c>
      <c r="B3" s="207">
        <v>0</v>
      </c>
      <c r="C3" s="259">
        <v>0</v>
      </c>
      <c r="D3" s="237">
        <v>1</v>
      </c>
      <c r="E3" s="291">
        <f>SUM(B3:D3)</f>
        <v>1</v>
      </c>
      <c r="F3" s="242" t="s">
        <v>1079</v>
      </c>
      <c r="G3" s="243">
        <v>0</v>
      </c>
      <c r="H3" s="333">
        <v>0</v>
      </c>
      <c r="I3" s="244">
        <v>5</v>
      </c>
      <c r="J3" s="245">
        <f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0" ht="14.95" customHeight="1" thickBot="1" x14ac:dyDescent="0.3">
      <c r="A4" s="289" t="s">
        <v>928</v>
      </c>
      <c r="B4" s="207">
        <v>0</v>
      </c>
      <c r="C4" s="259">
        <v>0</v>
      </c>
      <c r="D4" s="237">
        <v>0</v>
      </c>
      <c r="E4" s="291">
        <f>SUM(B4:D4)</f>
        <v>0</v>
      </c>
      <c r="F4" s="242" t="s">
        <v>928</v>
      </c>
      <c r="G4" s="243">
        <v>0</v>
      </c>
      <c r="H4" s="333">
        <v>0</v>
      </c>
      <c r="I4" s="244">
        <v>0</v>
      </c>
      <c r="J4" s="245">
        <f>SUM(G4:I4)</f>
        <v>0</v>
      </c>
      <c r="K4" s="289" t="s">
        <v>783</v>
      </c>
      <c r="L4" s="291">
        <v>5</v>
      </c>
      <c r="M4" s="291">
        <v>6</v>
      </c>
      <c r="N4" s="292">
        <f t="shared" ref="N4:N5" si="0">SUM(L4/M4)*100</f>
        <v>83.333333333333343</v>
      </c>
      <c r="O4" s="291" t="s">
        <v>15</v>
      </c>
      <c r="P4" s="291" t="s">
        <v>15</v>
      </c>
      <c r="Q4" s="292" t="s">
        <v>15</v>
      </c>
      <c r="R4" s="291">
        <v>4</v>
      </c>
      <c r="S4" s="291">
        <v>-1</v>
      </c>
      <c r="T4" s="7">
        <v>28</v>
      </c>
      <c r="U4" s="7">
        <v>43</v>
      </c>
      <c r="V4" s="7">
        <v>65</v>
      </c>
      <c r="W4" s="7">
        <v>8</v>
      </c>
      <c r="X4" s="7">
        <v>13</v>
      </c>
      <c r="Y4" s="7">
        <v>62</v>
      </c>
      <c r="Z4" s="94"/>
      <c r="AA4" s="94"/>
      <c r="AB4" s="148" t="s">
        <v>15</v>
      </c>
      <c r="AC4" s="7" t="s">
        <v>15</v>
      </c>
      <c r="AD4" s="7" t="s">
        <v>15</v>
      </c>
      <c r="AE4" s="148" t="s">
        <v>15</v>
      </c>
      <c r="AF4" s="7" t="s">
        <v>15</v>
      </c>
      <c r="AG4" s="7" t="s">
        <v>15</v>
      </c>
      <c r="AH4" s="148" t="s">
        <v>15</v>
      </c>
      <c r="AI4" s="7" t="s">
        <v>15</v>
      </c>
      <c r="AJ4" s="153" t="s">
        <v>15</v>
      </c>
      <c r="AK4" s="148" t="s">
        <v>15</v>
      </c>
      <c r="AL4" s="7" t="s">
        <v>15</v>
      </c>
      <c r="AM4" s="153" t="s">
        <v>15</v>
      </c>
      <c r="AN4" s="148" t="s">
        <v>15</v>
      </c>
      <c r="AO4" s="7" t="s">
        <v>15</v>
      </c>
      <c r="AP4" s="153" t="s">
        <v>15</v>
      </c>
      <c r="AQ4" s="148" t="s">
        <v>15</v>
      </c>
      <c r="AR4" s="7" t="s">
        <v>15</v>
      </c>
      <c r="AS4" s="153" t="s">
        <v>15</v>
      </c>
      <c r="AT4" s="148" t="s">
        <v>15</v>
      </c>
      <c r="AU4" s="7" t="s">
        <v>15</v>
      </c>
      <c r="AV4" s="153" t="s">
        <v>15</v>
      </c>
      <c r="AW4" s="148" t="s">
        <v>15</v>
      </c>
      <c r="AX4" s="7" t="s">
        <v>15</v>
      </c>
      <c r="AY4" s="153" t="s">
        <v>15</v>
      </c>
      <c r="AZ4" s="148" t="s">
        <v>15</v>
      </c>
      <c r="BA4" s="7" t="s">
        <v>15</v>
      </c>
      <c r="BB4" s="153" t="s">
        <v>15</v>
      </c>
      <c r="BC4" s="148" t="s">
        <v>15</v>
      </c>
      <c r="BD4" s="7" t="s">
        <v>15</v>
      </c>
      <c r="BE4" s="153" t="s">
        <v>15</v>
      </c>
      <c r="BF4" s="148" t="s">
        <v>15</v>
      </c>
      <c r="BG4" s="7" t="s">
        <v>15</v>
      </c>
      <c r="BH4" s="153" t="s">
        <v>15</v>
      </c>
    </row>
    <row r="5" spans="1:60" ht="14.95" customHeight="1" thickBot="1" x14ac:dyDescent="0.3">
      <c r="A5" s="289" t="s">
        <v>895</v>
      </c>
      <c r="B5" s="207">
        <v>1</v>
      </c>
      <c r="C5" s="259">
        <v>0</v>
      </c>
      <c r="D5" s="237">
        <v>1</v>
      </c>
      <c r="E5" s="291">
        <f>SUM(B5:D5)</f>
        <v>2</v>
      </c>
      <c r="F5" s="242" t="s">
        <v>895</v>
      </c>
      <c r="G5" s="243">
        <v>5</v>
      </c>
      <c r="H5" s="333">
        <v>0</v>
      </c>
      <c r="I5" s="244">
        <v>5</v>
      </c>
      <c r="J5" s="245">
        <f>SUM(G5:I5)</f>
        <v>10</v>
      </c>
      <c r="K5" s="288" t="s">
        <v>338</v>
      </c>
      <c r="L5" s="291">
        <v>0</v>
      </c>
      <c r="M5" s="291">
        <v>1</v>
      </c>
      <c r="N5" s="292">
        <f t="shared" si="0"/>
        <v>0</v>
      </c>
      <c r="O5" s="291" t="s">
        <v>15</v>
      </c>
      <c r="P5" s="291" t="s">
        <v>15</v>
      </c>
      <c r="Q5" s="292" t="s">
        <v>15</v>
      </c>
      <c r="R5" s="293">
        <v>-2</v>
      </c>
      <c r="S5" s="293">
        <v>-2</v>
      </c>
      <c r="T5" s="7">
        <v>2</v>
      </c>
      <c r="U5" s="7">
        <v>3</v>
      </c>
      <c r="V5" s="7">
        <v>67</v>
      </c>
      <c r="W5" s="7">
        <v>10</v>
      </c>
      <c r="X5" s="7">
        <v>12</v>
      </c>
      <c r="Y5" s="7">
        <v>83</v>
      </c>
      <c r="Z5" s="94"/>
      <c r="AA5" s="94"/>
      <c r="AB5" s="148">
        <v>7</v>
      </c>
      <c r="AC5" s="7">
        <v>9</v>
      </c>
      <c r="AD5" s="6">
        <v>78</v>
      </c>
      <c r="AE5" s="148">
        <v>1</v>
      </c>
      <c r="AF5" s="7">
        <v>2</v>
      </c>
      <c r="AG5" s="6">
        <f>SUM(AE5/AF5)*100</f>
        <v>50</v>
      </c>
      <c r="AH5" s="148" t="s">
        <v>15</v>
      </c>
      <c r="AI5" s="7" t="s">
        <v>15</v>
      </c>
      <c r="AJ5" s="153" t="s">
        <v>15</v>
      </c>
      <c r="AK5" s="148">
        <v>3</v>
      </c>
      <c r="AL5" s="7">
        <v>3</v>
      </c>
      <c r="AM5" s="7">
        <v>100</v>
      </c>
      <c r="AN5" s="148">
        <v>5</v>
      </c>
      <c r="AO5" s="7">
        <v>10</v>
      </c>
      <c r="AP5" s="7">
        <v>50</v>
      </c>
      <c r="AQ5" s="148">
        <v>4</v>
      </c>
      <c r="AR5" s="7">
        <v>5</v>
      </c>
      <c r="AS5" s="153">
        <v>80</v>
      </c>
      <c r="AT5" s="148">
        <v>1</v>
      </c>
      <c r="AU5" s="7">
        <v>3</v>
      </c>
      <c r="AV5" s="153">
        <v>33.333333333333329</v>
      </c>
      <c r="AW5" s="148">
        <v>13</v>
      </c>
      <c r="AX5" s="7">
        <v>20</v>
      </c>
      <c r="AY5" s="7">
        <v>65</v>
      </c>
      <c r="AZ5" s="7">
        <v>3</v>
      </c>
      <c r="BA5" s="7">
        <v>3</v>
      </c>
      <c r="BB5" s="7">
        <v>100</v>
      </c>
      <c r="BC5" s="9">
        <v>2</v>
      </c>
      <c r="BD5" s="9">
        <v>6</v>
      </c>
      <c r="BE5" s="212">
        <v>33.333333333333329</v>
      </c>
      <c r="BF5" s="6" t="s">
        <v>15</v>
      </c>
      <c r="BG5" s="6" t="s">
        <v>15</v>
      </c>
      <c r="BH5" s="6" t="s">
        <v>15</v>
      </c>
    </row>
    <row r="6" spans="1:60" ht="14.95" customHeight="1" thickBot="1" x14ac:dyDescent="0.3">
      <c r="A6" s="289" t="s">
        <v>885</v>
      </c>
      <c r="B6" s="207">
        <v>3</v>
      </c>
      <c r="C6" s="259">
        <v>0</v>
      </c>
      <c r="D6" s="237">
        <v>4</v>
      </c>
      <c r="E6" s="291">
        <f>SUM(B6:D6)</f>
        <v>7</v>
      </c>
      <c r="F6" s="242" t="s">
        <v>885</v>
      </c>
      <c r="G6" s="243">
        <v>15</v>
      </c>
      <c r="H6" s="333">
        <v>0</v>
      </c>
      <c r="I6" s="244">
        <v>20</v>
      </c>
      <c r="J6" s="245">
        <f>SUM(G6:I6)</f>
        <v>35</v>
      </c>
      <c r="K6" s="289" t="s">
        <v>957</v>
      </c>
      <c r="L6" s="291">
        <v>31</v>
      </c>
      <c r="M6" s="291">
        <v>45</v>
      </c>
      <c r="N6" s="292">
        <f t="shared" ref="N6" si="1">SUM(L6/M6)*100</f>
        <v>68.888888888888886</v>
      </c>
      <c r="O6" s="291">
        <v>1</v>
      </c>
      <c r="P6" s="291">
        <v>1</v>
      </c>
      <c r="Q6" s="292">
        <f t="shared" ref="Q6" si="2">SUM(O6/P6)*100</f>
        <v>100</v>
      </c>
      <c r="R6" s="291">
        <v>1</v>
      </c>
      <c r="S6" s="291">
        <v>3</v>
      </c>
      <c r="T6" s="7" t="s">
        <v>15</v>
      </c>
      <c r="U6" s="7" t="s">
        <v>15</v>
      </c>
      <c r="V6" s="7" t="s">
        <v>15</v>
      </c>
      <c r="W6" s="7">
        <v>41</v>
      </c>
      <c r="X6" s="7">
        <v>58</v>
      </c>
      <c r="Y6" s="7">
        <v>71</v>
      </c>
      <c r="Z6" s="94"/>
      <c r="AA6" s="94"/>
      <c r="AB6" s="6">
        <v>55</v>
      </c>
      <c r="AC6" s="7">
        <v>71</v>
      </c>
      <c r="AD6" s="153">
        <v>77.464788732394368</v>
      </c>
      <c r="AE6" s="7">
        <v>55</v>
      </c>
      <c r="AF6" s="7">
        <v>65</v>
      </c>
      <c r="AG6" s="153">
        <f>SUM(AE6/AF6)*100</f>
        <v>84.615384615384613</v>
      </c>
      <c r="AH6" s="148">
        <v>47</v>
      </c>
      <c r="AI6" s="7">
        <v>56</v>
      </c>
      <c r="AJ6" s="153">
        <f>(AH6/AI6)*100</f>
        <v>83.928571428571431</v>
      </c>
      <c r="AK6" s="148">
        <v>27</v>
      </c>
      <c r="AL6" s="7">
        <v>36</v>
      </c>
      <c r="AM6" s="153">
        <f>SUM(AK6/AL6)*100</f>
        <v>75</v>
      </c>
      <c r="AN6" s="148">
        <v>59</v>
      </c>
      <c r="AO6" s="7">
        <v>80</v>
      </c>
      <c r="AP6" s="153">
        <f>SUM(AN6/AO6)*100</f>
        <v>73.75</v>
      </c>
      <c r="AQ6" s="148">
        <v>82</v>
      </c>
      <c r="AR6" s="7">
        <v>105</v>
      </c>
      <c r="AS6" s="153">
        <f>SUM(AQ6/AR6)*100</f>
        <v>78.095238095238102</v>
      </c>
      <c r="AT6" s="148">
        <v>31</v>
      </c>
      <c r="AU6" s="7">
        <v>43</v>
      </c>
      <c r="AV6" s="153">
        <f>SUM(AT6/AU6)*100</f>
        <v>72.093023255813947</v>
      </c>
      <c r="AW6" s="148">
        <v>43</v>
      </c>
      <c r="AX6" s="7">
        <v>55</v>
      </c>
      <c r="AY6" s="153">
        <f>SUM(AW6/AX6)*100</f>
        <v>78.181818181818187</v>
      </c>
      <c r="AZ6" s="7">
        <v>50</v>
      </c>
      <c r="BA6" s="7">
        <v>61</v>
      </c>
      <c r="BB6" s="153">
        <f>SUM(AZ6/BA6)*100</f>
        <v>81.967213114754102</v>
      </c>
      <c r="BC6" s="7">
        <v>58</v>
      </c>
      <c r="BD6" s="7">
        <v>75</v>
      </c>
      <c r="BE6" s="153">
        <f>SUM(BC6/BD6)*100</f>
        <v>77.333333333333329</v>
      </c>
      <c r="BF6" s="7">
        <v>46</v>
      </c>
      <c r="BG6" s="7">
        <v>62</v>
      </c>
      <c r="BH6" s="7">
        <v>74</v>
      </c>
    </row>
    <row r="7" spans="1:60" ht="14.95" customHeight="1" thickBot="1" x14ac:dyDescent="0.3">
      <c r="A7" s="289" t="s">
        <v>762</v>
      </c>
      <c r="B7" s="207">
        <v>0</v>
      </c>
      <c r="C7" s="259">
        <v>0</v>
      </c>
      <c r="D7" s="237">
        <v>0</v>
      </c>
      <c r="E7" s="291">
        <f t="shared" ref="E7:E54" si="3">SUM(B7:D7)</f>
        <v>0</v>
      </c>
      <c r="F7" s="242" t="s">
        <v>762</v>
      </c>
      <c r="G7" s="243">
        <v>0</v>
      </c>
      <c r="H7" s="333">
        <v>0</v>
      </c>
      <c r="I7" s="244">
        <v>0</v>
      </c>
      <c r="J7" s="245">
        <f t="shared" ref="J7:J55" si="4">SUM(G7:I7)</f>
        <v>0</v>
      </c>
      <c r="K7" s="289" t="s">
        <v>782</v>
      </c>
      <c r="L7" s="291" t="s">
        <v>15</v>
      </c>
      <c r="M7" s="291" t="s">
        <v>15</v>
      </c>
      <c r="N7" s="292" t="s">
        <v>15</v>
      </c>
      <c r="O7" s="291" t="s">
        <v>15</v>
      </c>
      <c r="P7" s="291" t="s">
        <v>15</v>
      </c>
      <c r="Q7" s="292" t="s">
        <v>15</v>
      </c>
      <c r="R7" s="291">
        <v>9</v>
      </c>
      <c r="S7" s="291">
        <v>-1</v>
      </c>
      <c r="T7" s="7">
        <v>3</v>
      </c>
      <c r="U7" s="7">
        <v>3</v>
      </c>
      <c r="V7" s="153">
        <v>100</v>
      </c>
      <c r="W7" s="7">
        <v>6</v>
      </c>
      <c r="X7" s="7">
        <v>6</v>
      </c>
      <c r="Y7" s="153">
        <v>100</v>
      </c>
      <c r="Z7" s="94"/>
      <c r="AA7" s="94"/>
      <c r="AB7" s="148" t="s">
        <v>15</v>
      </c>
      <c r="AC7" s="7" t="s">
        <v>15</v>
      </c>
      <c r="AD7" s="7" t="s">
        <v>15</v>
      </c>
      <c r="AE7" s="6" t="s">
        <v>15</v>
      </c>
      <c r="AF7" s="7" t="s">
        <v>15</v>
      </c>
      <c r="AG7" s="7" t="s">
        <v>15</v>
      </c>
      <c r="AH7" s="7" t="s">
        <v>15</v>
      </c>
      <c r="AI7" s="7" t="s">
        <v>15</v>
      </c>
      <c r="AJ7" s="7" t="s">
        <v>15</v>
      </c>
      <c r="AK7" s="7" t="s">
        <v>15</v>
      </c>
      <c r="AL7" s="7" t="s">
        <v>15</v>
      </c>
      <c r="AM7" s="7" t="s">
        <v>15</v>
      </c>
      <c r="AN7" s="7" t="s">
        <v>15</v>
      </c>
      <c r="AO7" s="7" t="s">
        <v>15</v>
      </c>
      <c r="AP7" s="7" t="s">
        <v>15</v>
      </c>
      <c r="AQ7" s="7" t="s">
        <v>15</v>
      </c>
      <c r="AR7" s="7" t="s">
        <v>15</v>
      </c>
      <c r="AS7" s="7" t="s">
        <v>15</v>
      </c>
      <c r="AT7" s="7" t="s">
        <v>15</v>
      </c>
      <c r="AU7" s="7" t="s">
        <v>15</v>
      </c>
      <c r="AV7" s="7" t="s">
        <v>15</v>
      </c>
      <c r="AW7" s="7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</row>
    <row r="8" spans="1:60" ht="14.95" customHeight="1" thickBot="1" x14ac:dyDescent="0.3">
      <c r="A8" s="289" t="s">
        <v>769</v>
      </c>
      <c r="B8" s="207">
        <v>0</v>
      </c>
      <c r="C8" s="259">
        <v>0</v>
      </c>
      <c r="D8" s="237">
        <v>0</v>
      </c>
      <c r="E8" s="291">
        <f t="shared" si="3"/>
        <v>0</v>
      </c>
      <c r="F8" s="242" t="s">
        <v>769</v>
      </c>
      <c r="G8" s="243">
        <v>0</v>
      </c>
      <c r="H8" s="333">
        <v>0</v>
      </c>
      <c r="I8" s="244">
        <v>0</v>
      </c>
      <c r="J8" s="245">
        <f t="shared" si="4"/>
        <v>0</v>
      </c>
      <c r="K8" s="289" t="s">
        <v>320</v>
      </c>
      <c r="L8" s="291" t="s">
        <v>15</v>
      </c>
      <c r="M8" s="291" t="s">
        <v>15</v>
      </c>
      <c r="N8" s="292" t="s">
        <v>15</v>
      </c>
      <c r="O8" s="291" t="s">
        <v>15</v>
      </c>
      <c r="P8" s="291" t="s">
        <v>15</v>
      </c>
      <c r="Q8" s="292" t="s">
        <v>15</v>
      </c>
      <c r="R8" s="291">
        <v>-2</v>
      </c>
      <c r="S8" s="291">
        <v>-2</v>
      </c>
      <c r="T8" s="7">
        <v>28</v>
      </c>
      <c r="U8" s="7">
        <v>45</v>
      </c>
      <c r="V8" s="153">
        <v>62.222222222222221</v>
      </c>
      <c r="W8" s="7">
        <v>13</v>
      </c>
      <c r="X8" s="7">
        <v>18</v>
      </c>
      <c r="Y8" s="153">
        <v>72.222222222222214</v>
      </c>
      <c r="Z8" s="94"/>
      <c r="AA8" s="94"/>
      <c r="AB8" s="148">
        <v>1</v>
      </c>
      <c r="AC8" s="7">
        <v>1</v>
      </c>
      <c r="AD8" s="153">
        <v>100</v>
      </c>
      <c r="AE8" s="148">
        <v>66</v>
      </c>
      <c r="AF8" s="7">
        <v>87</v>
      </c>
      <c r="AG8" s="153">
        <f>SUM(AE8/AF8)*100</f>
        <v>75.862068965517238</v>
      </c>
      <c r="AH8" s="148" t="s">
        <v>15</v>
      </c>
      <c r="AI8" s="7" t="s">
        <v>15</v>
      </c>
      <c r="AJ8" s="153" t="s">
        <v>15</v>
      </c>
      <c r="AK8" s="148">
        <v>5</v>
      </c>
      <c r="AL8" s="7">
        <v>9</v>
      </c>
      <c r="AM8" s="153">
        <f>SUM(AK8/AL8)*100</f>
        <v>55.555555555555557</v>
      </c>
      <c r="AN8" s="148">
        <v>21</v>
      </c>
      <c r="AO8" s="7">
        <v>27</v>
      </c>
      <c r="AP8" s="153">
        <f>SUM(AN8/AO8)*100</f>
        <v>77.777777777777786</v>
      </c>
      <c r="AQ8" s="148">
        <v>26</v>
      </c>
      <c r="AR8" s="7">
        <v>38</v>
      </c>
      <c r="AS8" s="153">
        <f>SUM(AQ8/AR8)*100</f>
        <v>68.421052631578945</v>
      </c>
      <c r="AT8" s="148">
        <v>54</v>
      </c>
      <c r="AU8" s="7">
        <v>78</v>
      </c>
      <c r="AV8" s="153">
        <f>SUM(AT8/AU8)*100</f>
        <v>69.230769230769226</v>
      </c>
      <c r="AW8" s="148">
        <v>4</v>
      </c>
      <c r="AX8" s="7">
        <v>4</v>
      </c>
      <c r="AY8" s="153">
        <f>SUM(AW8/AX8)*100</f>
        <v>100</v>
      </c>
      <c r="AZ8" s="7">
        <v>14</v>
      </c>
      <c r="BA8" s="7">
        <v>17</v>
      </c>
      <c r="BB8" s="153">
        <f>SUM(AZ8/BA8)*100</f>
        <v>82.35294117647058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</row>
    <row r="9" spans="1:60" ht="14.95" customHeight="1" thickBot="1" x14ac:dyDescent="0.3">
      <c r="A9" s="289" t="s">
        <v>758</v>
      </c>
      <c r="B9" s="207">
        <v>3</v>
      </c>
      <c r="C9" s="259">
        <v>0</v>
      </c>
      <c r="D9" s="237">
        <v>0</v>
      </c>
      <c r="E9" s="291">
        <f t="shared" si="3"/>
        <v>3</v>
      </c>
      <c r="F9" s="242" t="s">
        <v>758</v>
      </c>
      <c r="G9" s="243">
        <v>25</v>
      </c>
      <c r="H9" s="333">
        <v>14</v>
      </c>
      <c r="I9" s="244">
        <v>0</v>
      </c>
      <c r="J9" s="245">
        <f t="shared" si="4"/>
        <v>39</v>
      </c>
      <c r="K9" s="359"/>
      <c r="L9" s="360"/>
      <c r="M9" s="51"/>
      <c r="N9" s="51"/>
      <c r="O9" s="360"/>
      <c r="P9" s="51"/>
      <c r="Q9" s="53"/>
      <c r="R9" s="35"/>
      <c r="S9" s="35"/>
      <c r="T9" s="35"/>
      <c r="U9" s="35"/>
      <c r="V9" s="35"/>
    </row>
    <row r="10" spans="1:60" ht="14.95" customHeight="1" thickBot="1" x14ac:dyDescent="0.3">
      <c r="A10" s="289" t="s">
        <v>1023</v>
      </c>
      <c r="B10" s="207">
        <v>8</v>
      </c>
      <c r="C10" s="259">
        <v>1</v>
      </c>
      <c r="D10" s="237">
        <v>0</v>
      </c>
      <c r="E10" s="291">
        <f t="shared" si="3"/>
        <v>9</v>
      </c>
      <c r="F10" s="242" t="s">
        <v>1023</v>
      </c>
      <c r="G10" s="243">
        <v>40</v>
      </c>
      <c r="H10" s="333">
        <v>5</v>
      </c>
      <c r="I10" s="244">
        <v>0</v>
      </c>
      <c r="J10" s="245">
        <f t="shared" si="4"/>
        <v>45</v>
      </c>
      <c r="K10" s="492" t="s">
        <v>195</v>
      </c>
      <c r="L10" s="481" t="s">
        <v>14</v>
      </c>
      <c r="M10" s="482"/>
      <c r="N10" s="483"/>
      <c r="O10" s="465" t="s">
        <v>234</v>
      </c>
      <c r="P10" s="466"/>
      <c r="Q10" s="467"/>
      <c r="R10" s="457" t="s">
        <v>903</v>
      </c>
      <c r="S10" s="458"/>
      <c r="T10" s="459"/>
      <c r="U10" s="457" t="s">
        <v>601</v>
      </c>
      <c r="V10" s="458"/>
      <c r="W10" s="459"/>
      <c r="X10" s="160"/>
      <c r="Y10" s="160"/>
      <c r="Z10" s="160"/>
      <c r="AA10" s="160"/>
      <c r="AB10" s="457" t="s">
        <v>494</v>
      </c>
      <c r="AC10" s="472"/>
      <c r="AD10" s="473"/>
      <c r="AE10" s="457" t="s">
        <v>313</v>
      </c>
      <c r="AF10" s="458"/>
      <c r="AG10" s="459"/>
      <c r="AH10" s="457" t="s">
        <v>227</v>
      </c>
      <c r="AI10" s="458"/>
      <c r="AJ10" s="459"/>
      <c r="AK10" s="457" t="s">
        <v>172</v>
      </c>
      <c r="AL10" s="458"/>
      <c r="AM10" s="459"/>
      <c r="AN10" s="457" t="s">
        <v>79</v>
      </c>
      <c r="AO10" s="458"/>
      <c r="AP10" s="459"/>
      <c r="AQ10" s="457" t="s">
        <v>54</v>
      </c>
      <c r="AR10" s="458"/>
      <c r="AS10" s="459"/>
      <c r="AT10" s="457" t="s">
        <v>50</v>
      </c>
      <c r="AU10" s="458"/>
      <c r="AV10" s="459"/>
      <c r="AW10" s="457" t="s">
        <v>60</v>
      </c>
      <c r="AX10" s="458"/>
      <c r="AY10" s="459"/>
    </row>
    <row r="11" spans="1:60" ht="14.95" customHeight="1" thickBot="1" x14ac:dyDescent="0.3">
      <c r="A11" s="289" t="s">
        <v>766</v>
      </c>
      <c r="B11" s="207">
        <v>1</v>
      </c>
      <c r="C11" s="259">
        <v>0</v>
      </c>
      <c r="D11" s="237">
        <v>0</v>
      </c>
      <c r="E11" s="291">
        <f t="shared" si="3"/>
        <v>1</v>
      </c>
      <c r="F11" s="242" t="s">
        <v>766</v>
      </c>
      <c r="G11" s="243">
        <v>5</v>
      </c>
      <c r="H11" s="333">
        <v>0</v>
      </c>
      <c r="I11" s="244">
        <v>0</v>
      </c>
      <c r="J11" s="245">
        <f t="shared" si="4"/>
        <v>5</v>
      </c>
      <c r="K11" s="493"/>
      <c r="L11" s="484"/>
      <c r="M11" s="485"/>
      <c r="N11" s="486"/>
      <c r="O11" s="468"/>
      <c r="P11" s="469"/>
      <c r="Q11" s="470"/>
      <c r="R11" s="460"/>
      <c r="S11" s="461"/>
      <c r="T11" s="462"/>
      <c r="U11" s="460"/>
      <c r="V11" s="461"/>
      <c r="W11" s="462"/>
      <c r="X11" s="160"/>
      <c r="Y11" s="160"/>
      <c r="Z11" s="160"/>
      <c r="AA11" s="160"/>
      <c r="AB11" s="474"/>
      <c r="AC11" s="475"/>
      <c r="AD11" s="476"/>
      <c r="AE11" s="460"/>
      <c r="AF11" s="461"/>
      <c r="AG11" s="462"/>
      <c r="AH11" s="460"/>
      <c r="AI11" s="461"/>
      <c r="AJ11" s="462"/>
      <c r="AK11" s="460"/>
      <c r="AL11" s="461"/>
      <c r="AM11" s="462"/>
      <c r="AN11" s="460"/>
      <c r="AO11" s="461"/>
      <c r="AP11" s="462"/>
      <c r="AQ11" s="460"/>
      <c r="AR11" s="461"/>
      <c r="AS11" s="462"/>
      <c r="AT11" s="460"/>
      <c r="AU11" s="461"/>
      <c r="AV11" s="462"/>
      <c r="AW11" s="460"/>
      <c r="AX11" s="461"/>
      <c r="AY11" s="462"/>
    </row>
    <row r="12" spans="1:60" ht="14.95" customHeight="1" thickBot="1" x14ac:dyDescent="0.3">
      <c r="A12" s="289" t="s">
        <v>554</v>
      </c>
      <c r="B12" s="207">
        <v>0</v>
      </c>
      <c r="C12" s="259">
        <v>2</v>
      </c>
      <c r="D12" s="237">
        <v>0</v>
      </c>
      <c r="E12" s="291">
        <f t="shared" si="3"/>
        <v>2</v>
      </c>
      <c r="F12" s="242" t="s">
        <v>554</v>
      </c>
      <c r="G12" s="243">
        <v>0</v>
      </c>
      <c r="H12" s="333">
        <v>10</v>
      </c>
      <c r="I12" s="244">
        <v>0</v>
      </c>
      <c r="J12" s="245">
        <f t="shared" si="4"/>
        <v>10</v>
      </c>
      <c r="K12" s="252" t="s">
        <v>21</v>
      </c>
      <c r="L12" s="3" t="s">
        <v>46</v>
      </c>
      <c r="M12" s="3" t="s">
        <v>9</v>
      </c>
      <c r="N12" s="3" t="s">
        <v>10</v>
      </c>
      <c r="O12" s="79" t="s">
        <v>46</v>
      </c>
      <c r="P12" s="79" t="s">
        <v>9</v>
      </c>
      <c r="Q12" s="79" t="s">
        <v>10</v>
      </c>
      <c r="R12" s="79" t="s">
        <v>46</v>
      </c>
      <c r="S12" s="79" t="s">
        <v>9</v>
      </c>
      <c r="T12" s="79" t="s">
        <v>10</v>
      </c>
      <c r="U12" s="79" t="s">
        <v>46</v>
      </c>
      <c r="V12" s="79" t="s">
        <v>9</v>
      </c>
      <c r="W12" s="79" t="s">
        <v>10</v>
      </c>
      <c r="AB12" s="84" t="s">
        <v>46</v>
      </c>
      <c r="AC12" s="79" t="s">
        <v>9</v>
      </c>
      <c r="AD12" s="79" t="s">
        <v>10</v>
      </c>
      <c r="AE12" s="148" t="s">
        <v>46</v>
      </c>
      <c r="AF12" s="7" t="s">
        <v>9</v>
      </c>
      <c r="AG12" s="7" t="s">
        <v>10</v>
      </c>
      <c r="AH12" s="148" t="s">
        <v>46</v>
      </c>
      <c r="AI12" s="7" t="s">
        <v>9</v>
      </c>
      <c r="AJ12" s="7" t="s">
        <v>10</v>
      </c>
      <c r="AK12" s="148" t="s">
        <v>46</v>
      </c>
      <c r="AL12" s="7" t="s">
        <v>9</v>
      </c>
      <c r="AM12" s="7" t="s">
        <v>10</v>
      </c>
      <c r="AN12" s="148" t="s">
        <v>46</v>
      </c>
      <c r="AO12" s="7" t="s">
        <v>9</v>
      </c>
      <c r="AP12" s="7" t="s">
        <v>10</v>
      </c>
      <c r="AQ12" s="148" t="s">
        <v>46</v>
      </c>
      <c r="AR12" s="7" t="s">
        <v>9</v>
      </c>
      <c r="AS12" s="7" t="s">
        <v>10</v>
      </c>
      <c r="AT12" s="148" t="s">
        <v>46</v>
      </c>
      <c r="AU12" s="7" t="s">
        <v>9</v>
      </c>
      <c r="AV12" s="7" t="s">
        <v>10</v>
      </c>
      <c r="AW12" s="148" t="s">
        <v>46</v>
      </c>
      <c r="AX12" s="7" t="s">
        <v>9</v>
      </c>
      <c r="AY12" s="7" t="s">
        <v>10</v>
      </c>
    </row>
    <row r="13" spans="1:60" ht="14.95" customHeight="1" thickBot="1" x14ac:dyDescent="0.3">
      <c r="A13" s="289" t="s">
        <v>319</v>
      </c>
      <c r="B13" s="207">
        <v>0</v>
      </c>
      <c r="C13" s="259">
        <v>0</v>
      </c>
      <c r="D13" s="237">
        <v>0</v>
      </c>
      <c r="E13" s="291">
        <f t="shared" si="3"/>
        <v>0</v>
      </c>
      <c r="F13" s="242" t="s">
        <v>319</v>
      </c>
      <c r="G13" s="243">
        <v>0</v>
      </c>
      <c r="H13" s="333">
        <v>0</v>
      </c>
      <c r="I13" s="244">
        <v>0</v>
      </c>
      <c r="J13" s="245">
        <f t="shared" si="4"/>
        <v>0</v>
      </c>
      <c r="K13" s="289" t="s">
        <v>758</v>
      </c>
      <c r="L13" s="291">
        <v>6</v>
      </c>
      <c r="M13" s="291">
        <v>10</v>
      </c>
      <c r="N13" s="292">
        <f t="shared" ref="N13" si="5">SUM(L13/M13)*100</f>
        <v>60</v>
      </c>
      <c r="O13" s="7">
        <v>14</v>
      </c>
      <c r="P13" s="7">
        <v>19</v>
      </c>
      <c r="Q13" s="153">
        <v>73.68421052631578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B13" s="148" t="s">
        <v>15</v>
      </c>
      <c r="AC13" s="7" t="s">
        <v>15</v>
      </c>
      <c r="AD13" s="153" t="s">
        <v>15</v>
      </c>
      <c r="AE13" s="148" t="s">
        <v>15</v>
      </c>
      <c r="AF13" s="7" t="s">
        <v>15</v>
      </c>
      <c r="AG13" s="153" t="s">
        <v>15</v>
      </c>
      <c r="AH13" s="148" t="s">
        <v>15</v>
      </c>
      <c r="AI13" s="7" t="s">
        <v>15</v>
      </c>
      <c r="AJ13" s="153" t="s">
        <v>15</v>
      </c>
      <c r="AK13" s="148" t="s">
        <v>15</v>
      </c>
      <c r="AL13" s="7" t="s">
        <v>15</v>
      </c>
      <c r="AM13" s="153" t="s">
        <v>15</v>
      </c>
      <c r="AN13" s="148" t="s">
        <v>15</v>
      </c>
      <c r="AO13" s="7" t="s">
        <v>15</v>
      </c>
      <c r="AP13" s="153" t="s">
        <v>15</v>
      </c>
      <c r="AQ13" s="148" t="s">
        <v>15</v>
      </c>
      <c r="AR13" s="7" t="s">
        <v>15</v>
      </c>
      <c r="AS13" s="153" t="s">
        <v>15</v>
      </c>
      <c r="AT13" s="148" t="s">
        <v>15</v>
      </c>
      <c r="AU13" s="7" t="s">
        <v>15</v>
      </c>
      <c r="AV13" s="153" t="s">
        <v>15</v>
      </c>
      <c r="AW13" s="148" t="s">
        <v>15</v>
      </c>
      <c r="AX13" s="7" t="s">
        <v>15</v>
      </c>
      <c r="AY13" s="153" t="s">
        <v>15</v>
      </c>
    </row>
    <row r="14" spans="1:60" ht="14.95" customHeight="1" thickBot="1" x14ac:dyDescent="0.3">
      <c r="A14" s="289" t="s">
        <v>61</v>
      </c>
      <c r="B14" s="207">
        <v>0</v>
      </c>
      <c r="C14" s="259">
        <v>0</v>
      </c>
      <c r="D14" s="237">
        <v>1</v>
      </c>
      <c r="E14" s="291">
        <f t="shared" si="3"/>
        <v>1</v>
      </c>
      <c r="F14" s="242" t="s">
        <v>61</v>
      </c>
      <c r="G14" s="243">
        <v>0</v>
      </c>
      <c r="H14" s="333">
        <v>0</v>
      </c>
      <c r="I14" s="244">
        <v>5</v>
      </c>
      <c r="J14" s="245">
        <f t="shared" si="4"/>
        <v>5</v>
      </c>
      <c r="K14" s="289" t="s">
        <v>338</v>
      </c>
      <c r="L14" s="291" t="s">
        <v>15</v>
      </c>
      <c r="M14" s="291" t="s">
        <v>15</v>
      </c>
      <c r="N14" s="292" t="s">
        <v>15</v>
      </c>
      <c r="O14" s="7">
        <v>1</v>
      </c>
      <c r="P14" s="7">
        <v>1</v>
      </c>
      <c r="Q14" s="153">
        <v>100</v>
      </c>
      <c r="R14" s="7" t="s">
        <v>15</v>
      </c>
      <c r="S14" s="7" t="s">
        <v>15</v>
      </c>
      <c r="T14" s="153" t="s">
        <v>15</v>
      </c>
      <c r="U14" s="7">
        <v>1</v>
      </c>
      <c r="V14" s="7">
        <v>1</v>
      </c>
      <c r="W14" s="153">
        <v>100</v>
      </c>
      <c r="AB14" s="148" t="s">
        <v>15</v>
      </c>
      <c r="AC14" s="7" t="s">
        <v>15</v>
      </c>
      <c r="AD14" s="153" t="s">
        <v>15</v>
      </c>
      <c r="AE14" s="148">
        <v>3</v>
      </c>
      <c r="AF14" s="7">
        <v>6</v>
      </c>
      <c r="AG14" s="153">
        <f>SUM(AE14/AF14)*100</f>
        <v>50</v>
      </c>
      <c r="AH14" s="148">
        <v>2</v>
      </c>
      <c r="AI14" s="7">
        <v>2</v>
      </c>
      <c r="AJ14" s="7">
        <v>100</v>
      </c>
      <c r="AK14" s="148">
        <v>3</v>
      </c>
      <c r="AL14" s="7">
        <v>4</v>
      </c>
      <c r="AM14" s="153">
        <v>75</v>
      </c>
      <c r="AN14" s="148" t="s">
        <v>15</v>
      </c>
      <c r="AO14" s="7" t="s">
        <v>15</v>
      </c>
      <c r="AP14" s="153" t="s">
        <v>15</v>
      </c>
      <c r="AQ14" s="148">
        <v>3</v>
      </c>
      <c r="AR14" s="7">
        <v>10</v>
      </c>
      <c r="AS14" s="7">
        <v>30</v>
      </c>
      <c r="AT14" s="148">
        <v>1</v>
      </c>
      <c r="AU14" s="7">
        <v>1</v>
      </c>
      <c r="AV14" s="153">
        <v>100</v>
      </c>
      <c r="AW14" s="148" t="s">
        <v>15</v>
      </c>
      <c r="AX14" s="7" t="s">
        <v>15</v>
      </c>
      <c r="AY14" s="7" t="s">
        <v>15</v>
      </c>
    </row>
    <row r="15" spans="1:60" ht="14.95" customHeight="1" thickBot="1" x14ac:dyDescent="0.3">
      <c r="A15" s="289" t="s">
        <v>310</v>
      </c>
      <c r="B15" s="207">
        <v>0</v>
      </c>
      <c r="C15" s="259">
        <v>0</v>
      </c>
      <c r="D15" s="237">
        <v>0</v>
      </c>
      <c r="E15" s="291">
        <f t="shared" si="3"/>
        <v>0</v>
      </c>
      <c r="F15" s="242" t="s">
        <v>310</v>
      </c>
      <c r="G15" s="243">
        <v>0</v>
      </c>
      <c r="H15" s="333">
        <v>0</v>
      </c>
      <c r="I15" s="244">
        <v>0</v>
      </c>
      <c r="J15" s="245">
        <f t="shared" si="4"/>
        <v>0</v>
      </c>
      <c r="K15" s="289" t="s">
        <v>957</v>
      </c>
      <c r="L15" s="291">
        <v>6</v>
      </c>
      <c r="M15" s="291">
        <v>7</v>
      </c>
      <c r="N15" s="292">
        <f t="shared" ref="N15" si="6">SUM(L15/M15)*100</f>
        <v>85.714285714285708</v>
      </c>
      <c r="O15" s="7" t="s">
        <v>15</v>
      </c>
      <c r="P15" s="7" t="s">
        <v>15</v>
      </c>
      <c r="Q15" s="153" t="s">
        <v>15</v>
      </c>
      <c r="R15" s="7">
        <v>16</v>
      </c>
      <c r="S15" s="7">
        <v>25</v>
      </c>
      <c r="T15" s="153">
        <v>64</v>
      </c>
      <c r="U15" s="7">
        <v>16</v>
      </c>
      <c r="V15" s="7">
        <v>22</v>
      </c>
      <c r="W15" s="153">
        <v>72.727272727272734</v>
      </c>
      <c r="AB15" s="148" t="s">
        <v>15</v>
      </c>
      <c r="AC15" s="7" t="s">
        <v>15</v>
      </c>
      <c r="AD15" s="153" t="s">
        <v>15</v>
      </c>
      <c r="AE15" s="148">
        <v>7</v>
      </c>
      <c r="AF15" s="7">
        <v>9</v>
      </c>
      <c r="AG15" s="153">
        <f>SUM(AE15/AF15)*100</f>
        <v>77.777777777777786</v>
      </c>
      <c r="AH15" s="148">
        <v>36</v>
      </c>
      <c r="AI15" s="7">
        <v>42</v>
      </c>
      <c r="AJ15" s="153">
        <f>SUM(AH15/AI15)*100</f>
        <v>85.714285714285708</v>
      </c>
      <c r="AK15" s="148">
        <v>37</v>
      </c>
      <c r="AL15" s="7">
        <v>42</v>
      </c>
      <c r="AM15" s="153">
        <f>SUM(AK15/AL15)*100</f>
        <v>88.095238095238088</v>
      </c>
      <c r="AN15" s="148">
        <v>47</v>
      </c>
      <c r="AO15" s="7">
        <v>57</v>
      </c>
      <c r="AP15" s="153">
        <f>SUM(AN15/AO15)*100</f>
        <v>82.456140350877192</v>
      </c>
      <c r="AQ15" s="148">
        <v>48</v>
      </c>
      <c r="AR15" s="7">
        <v>64</v>
      </c>
      <c r="AS15" s="153">
        <f>SUM(AQ15/AR15)*100</f>
        <v>75</v>
      </c>
      <c r="AT15" s="148">
        <v>15</v>
      </c>
      <c r="AU15" s="7">
        <v>19</v>
      </c>
      <c r="AV15" s="153">
        <f>SUM(AT15/AU15)*100</f>
        <v>78.94736842105263</v>
      </c>
      <c r="AW15" s="148">
        <v>24</v>
      </c>
      <c r="AX15" s="7">
        <v>33</v>
      </c>
      <c r="AY15" s="153">
        <f>SUM(AW15/AX15)*100</f>
        <v>72.727272727272734</v>
      </c>
    </row>
    <row r="16" spans="1:60" ht="14.95" customHeight="1" thickBot="1" x14ac:dyDescent="0.3">
      <c r="A16" s="289" t="s">
        <v>480</v>
      </c>
      <c r="B16" s="207">
        <v>2</v>
      </c>
      <c r="C16" s="259">
        <v>2</v>
      </c>
      <c r="D16" s="237">
        <v>0</v>
      </c>
      <c r="E16" s="291">
        <f t="shared" si="3"/>
        <v>4</v>
      </c>
      <c r="F16" s="242" t="s">
        <v>480</v>
      </c>
      <c r="G16" s="243">
        <v>10</v>
      </c>
      <c r="H16" s="333">
        <v>10</v>
      </c>
      <c r="I16" s="244">
        <v>0</v>
      </c>
      <c r="J16" s="245">
        <f t="shared" si="4"/>
        <v>20</v>
      </c>
      <c r="K16" s="289" t="s">
        <v>760</v>
      </c>
      <c r="L16" s="291" t="s">
        <v>15</v>
      </c>
      <c r="M16" s="291" t="s">
        <v>15</v>
      </c>
      <c r="N16" s="292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148" t="s">
        <v>15</v>
      </c>
      <c r="AI16" s="7" t="s">
        <v>15</v>
      </c>
      <c r="AJ16" s="7" t="s">
        <v>15</v>
      </c>
      <c r="AK16" s="148" t="s">
        <v>15</v>
      </c>
      <c r="AL16" s="7" t="s">
        <v>15</v>
      </c>
      <c r="AM16" s="7" t="s">
        <v>15</v>
      </c>
      <c r="AN16" s="148" t="s">
        <v>15</v>
      </c>
      <c r="AO16" s="7" t="s">
        <v>15</v>
      </c>
      <c r="AP16" s="7" t="s">
        <v>15</v>
      </c>
      <c r="AQ16" s="148" t="s">
        <v>15</v>
      </c>
      <c r="AR16" s="7" t="s">
        <v>15</v>
      </c>
      <c r="AS16" s="7" t="s">
        <v>15</v>
      </c>
      <c r="AT16" s="148" t="s">
        <v>15</v>
      </c>
      <c r="AU16" s="7" t="s">
        <v>15</v>
      </c>
      <c r="AV16" s="153" t="s">
        <v>15</v>
      </c>
      <c r="AW16" s="148" t="s">
        <v>15</v>
      </c>
      <c r="AX16" s="7" t="s">
        <v>15</v>
      </c>
      <c r="AY16" s="153" t="s">
        <v>15</v>
      </c>
    </row>
    <row r="17" spans="1:54" ht="14.95" customHeight="1" thickBot="1" x14ac:dyDescent="0.3">
      <c r="A17" s="289" t="s">
        <v>356</v>
      </c>
      <c r="B17" s="207">
        <v>0</v>
      </c>
      <c r="C17" s="259">
        <v>0</v>
      </c>
      <c r="D17" s="237">
        <v>1</v>
      </c>
      <c r="E17" s="291">
        <f t="shared" si="3"/>
        <v>1</v>
      </c>
      <c r="F17" s="242" t="s">
        <v>356</v>
      </c>
      <c r="G17" s="243">
        <v>0</v>
      </c>
      <c r="H17" s="333">
        <v>0</v>
      </c>
      <c r="I17" s="244">
        <v>5</v>
      </c>
      <c r="J17" s="245">
        <f t="shared" si="4"/>
        <v>5</v>
      </c>
      <c r="K17" s="289" t="s">
        <v>320</v>
      </c>
      <c r="L17" s="291" t="s">
        <v>15</v>
      </c>
      <c r="M17" s="291" t="s">
        <v>15</v>
      </c>
      <c r="N17" s="292" t="s">
        <v>15</v>
      </c>
      <c r="O17" s="7">
        <v>5</v>
      </c>
      <c r="P17" s="7">
        <v>7</v>
      </c>
      <c r="Q17" s="153">
        <v>71.428571428571431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148">
        <v>11</v>
      </c>
      <c r="AI17" s="7">
        <v>13</v>
      </c>
      <c r="AJ17" s="153">
        <f>SUM(AH17/AI17)*100</f>
        <v>84.615384615384613</v>
      </c>
      <c r="AK17" s="148" t="s">
        <v>15</v>
      </c>
      <c r="AL17" s="7" t="s">
        <v>15</v>
      </c>
      <c r="AM17" s="7" t="s">
        <v>15</v>
      </c>
      <c r="AN17" s="148">
        <v>2</v>
      </c>
      <c r="AO17" s="7">
        <v>5</v>
      </c>
      <c r="AP17" s="153">
        <f>SUM(AN17/AO17)*100</f>
        <v>40</v>
      </c>
      <c r="AQ17" s="148" t="s">
        <v>15</v>
      </c>
      <c r="AR17" s="7" t="s">
        <v>15</v>
      </c>
      <c r="AS17" s="7" t="s">
        <v>15</v>
      </c>
      <c r="AT17" s="148">
        <v>4</v>
      </c>
      <c r="AU17" s="7">
        <v>4</v>
      </c>
      <c r="AV17" s="153">
        <f>SUM(AT17/AU17)*100</f>
        <v>100</v>
      </c>
      <c r="AW17" s="148" t="s">
        <v>15</v>
      </c>
      <c r="AX17" s="7" t="s">
        <v>15</v>
      </c>
      <c r="AY17" s="7" t="s">
        <v>15</v>
      </c>
    </row>
    <row r="18" spans="1:54" ht="14.95" customHeight="1" thickBot="1" x14ac:dyDescent="0.3">
      <c r="A18" s="289" t="s">
        <v>321</v>
      </c>
      <c r="B18" s="207">
        <v>2</v>
      </c>
      <c r="C18" s="259">
        <v>0</v>
      </c>
      <c r="D18" s="237">
        <v>0</v>
      </c>
      <c r="E18" s="291">
        <f t="shared" si="3"/>
        <v>2</v>
      </c>
      <c r="F18" s="242" t="s">
        <v>321</v>
      </c>
      <c r="G18" s="243">
        <v>10</v>
      </c>
      <c r="H18" s="333">
        <v>0</v>
      </c>
      <c r="I18" s="244">
        <v>0</v>
      </c>
      <c r="J18" s="245">
        <f t="shared" si="4"/>
        <v>10</v>
      </c>
    </row>
    <row r="19" spans="1:54" ht="14.95" customHeight="1" thickBot="1" x14ac:dyDescent="0.3">
      <c r="A19" s="289" t="s">
        <v>780</v>
      </c>
      <c r="B19" s="207">
        <v>0</v>
      </c>
      <c r="C19" s="259">
        <v>0</v>
      </c>
      <c r="D19" s="237">
        <v>0</v>
      </c>
      <c r="E19" s="291">
        <f t="shared" si="3"/>
        <v>0</v>
      </c>
      <c r="F19" s="242" t="s">
        <v>780</v>
      </c>
      <c r="G19" s="243">
        <v>0</v>
      </c>
      <c r="H19" s="333">
        <v>0</v>
      </c>
      <c r="I19" s="244">
        <v>0</v>
      </c>
      <c r="J19" s="245">
        <f t="shared" si="4"/>
        <v>0</v>
      </c>
      <c r="K19" s="564" t="s">
        <v>196</v>
      </c>
      <c r="L19" s="457" t="s">
        <v>14</v>
      </c>
      <c r="M19" s="458"/>
      <c r="N19" s="459"/>
      <c r="O19" s="457" t="s">
        <v>234</v>
      </c>
      <c r="P19" s="458"/>
      <c r="Q19" s="459"/>
      <c r="R19" s="457" t="s">
        <v>903</v>
      </c>
      <c r="S19" s="458"/>
      <c r="T19" s="459"/>
      <c r="U19" s="457" t="s">
        <v>601</v>
      </c>
      <c r="V19" s="458"/>
      <c r="W19" s="459"/>
      <c r="AB19" s="457" t="s">
        <v>494</v>
      </c>
      <c r="AC19" s="458"/>
      <c r="AD19" s="459"/>
      <c r="AE19" s="457" t="s">
        <v>407</v>
      </c>
      <c r="AF19" s="472"/>
      <c r="AG19" s="473"/>
      <c r="AH19" s="457" t="s">
        <v>313</v>
      </c>
      <c r="AI19" s="458"/>
      <c r="AJ19" s="459"/>
      <c r="AK19" s="457" t="s">
        <v>227</v>
      </c>
      <c r="AL19" s="458"/>
      <c r="AM19" s="459"/>
      <c r="AN19" s="457" t="s">
        <v>172</v>
      </c>
      <c r="AO19" s="458"/>
      <c r="AP19" s="459"/>
      <c r="AQ19" s="457" t="s">
        <v>79</v>
      </c>
      <c r="AR19" s="458"/>
      <c r="AS19" s="459"/>
      <c r="AT19" s="457" t="s">
        <v>54</v>
      </c>
      <c r="AU19" s="458"/>
      <c r="AV19" s="459"/>
      <c r="AW19" s="457" t="s">
        <v>50</v>
      </c>
      <c r="AX19" s="458"/>
      <c r="AY19" s="459"/>
      <c r="AZ19" s="457" t="s">
        <v>60</v>
      </c>
      <c r="BA19" s="458"/>
      <c r="BB19" s="459"/>
    </row>
    <row r="20" spans="1:54" ht="14.95" customHeight="1" thickBot="1" x14ac:dyDescent="0.3">
      <c r="A20" s="289" t="s">
        <v>450</v>
      </c>
      <c r="B20" s="207">
        <v>0</v>
      </c>
      <c r="C20" s="259">
        <v>0</v>
      </c>
      <c r="D20" s="237">
        <v>0</v>
      </c>
      <c r="E20" s="291">
        <f t="shared" si="3"/>
        <v>0</v>
      </c>
      <c r="F20" s="242" t="s">
        <v>450</v>
      </c>
      <c r="G20" s="243">
        <v>0</v>
      </c>
      <c r="H20" s="333">
        <v>0</v>
      </c>
      <c r="I20" s="244">
        <v>0</v>
      </c>
      <c r="J20" s="245">
        <f t="shared" si="4"/>
        <v>0</v>
      </c>
      <c r="K20" s="565"/>
      <c r="L20" s="460"/>
      <c r="M20" s="461"/>
      <c r="N20" s="462"/>
      <c r="O20" s="460"/>
      <c r="P20" s="461"/>
      <c r="Q20" s="462"/>
      <c r="R20" s="460"/>
      <c r="S20" s="461"/>
      <c r="T20" s="462"/>
      <c r="U20" s="460"/>
      <c r="V20" s="461"/>
      <c r="W20" s="462"/>
      <c r="AB20" s="460"/>
      <c r="AC20" s="461"/>
      <c r="AD20" s="462"/>
      <c r="AE20" s="474"/>
      <c r="AF20" s="475"/>
      <c r="AG20" s="476"/>
      <c r="AH20" s="460"/>
      <c r="AI20" s="461"/>
      <c r="AJ20" s="462"/>
      <c r="AK20" s="460"/>
      <c r="AL20" s="461"/>
      <c r="AM20" s="462"/>
      <c r="AN20" s="460"/>
      <c r="AO20" s="461"/>
      <c r="AP20" s="462"/>
      <c r="AQ20" s="460"/>
      <c r="AR20" s="461"/>
      <c r="AS20" s="462"/>
      <c r="AT20" s="460"/>
      <c r="AU20" s="461"/>
      <c r="AV20" s="462"/>
      <c r="AW20" s="460"/>
      <c r="AX20" s="461"/>
      <c r="AY20" s="462"/>
      <c r="AZ20" s="460"/>
      <c r="BA20" s="461"/>
      <c r="BB20" s="462"/>
    </row>
    <row r="21" spans="1:54" ht="14.95" customHeight="1" thickBot="1" x14ac:dyDescent="0.3">
      <c r="A21" s="289" t="s">
        <v>1025</v>
      </c>
      <c r="B21" s="207">
        <v>0</v>
      </c>
      <c r="C21" s="259">
        <v>0</v>
      </c>
      <c r="D21" s="237">
        <v>0</v>
      </c>
      <c r="E21" s="291">
        <f t="shared" si="3"/>
        <v>0</v>
      </c>
      <c r="F21" s="242" t="s">
        <v>1025</v>
      </c>
      <c r="G21" s="243">
        <v>71</v>
      </c>
      <c r="H21" s="333">
        <v>14</v>
      </c>
      <c r="I21" s="244">
        <v>0</v>
      </c>
      <c r="J21" s="245">
        <f t="shared" si="4"/>
        <v>85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84" t="s">
        <v>46</v>
      </c>
      <c r="AF21" s="79" t="s">
        <v>9</v>
      </c>
      <c r="AG21" s="79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289" t="s">
        <v>305</v>
      </c>
      <c r="B22" s="207">
        <v>0</v>
      </c>
      <c r="C22" s="259">
        <v>0</v>
      </c>
      <c r="D22" s="237">
        <v>0</v>
      </c>
      <c r="E22" s="291">
        <f t="shared" si="3"/>
        <v>0</v>
      </c>
      <c r="F22" s="242" t="s">
        <v>305</v>
      </c>
      <c r="G22" s="243">
        <v>0</v>
      </c>
      <c r="H22" s="333">
        <v>0</v>
      </c>
      <c r="I22" s="244">
        <v>0</v>
      </c>
      <c r="J22" s="245">
        <f t="shared" si="4"/>
        <v>0</v>
      </c>
      <c r="K22" s="289" t="s">
        <v>758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 t="s">
        <v>15</v>
      </c>
      <c r="V22" s="7" t="s">
        <v>15</v>
      </c>
      <c r="W22" s="153" t="s">
        <v>15</v>
      </c>
      <c r="AB22" s="148" t="s">
        <v>15</v>
      </c>
      <c r="AC22" s="7" t="s">
        <v>15</v>
      </c>
      <c r="AD22" s="153" t="s">
        <v>15</v>
      </c>
      <c r="AE22" s="148" t="s">
        <v>15</v>
      </c>
      <c r="AF22" s="7" t="s">
        <v>15</v>
      </c>
      <c r="AG22" s="153" t="s">
        <v>15</v>
      </c>
      <c r="AH22" s="148" t="s">
        <v>15</v>
      </c>
      <c r="AI22" s="7" t="s">
        <v>15</v>
      </c>
      <c r="AJ22" s="153" t="s">
        <v>15</v>
      </c>
      <c r="AK22" s="148" t="s">
        <v>15</v>
      </c>
      <c r="AL22" s="7" t="s">
        <v>15</v>
      </c>
      <c r="AM22" s="153" t="s">
        <v>15</v>
      </c>
      <c r="AN22" s="148" t="s">
        <v>15</v>
      </c>
      <c r="AO22" s="7" t="s">
        <v>15</v>
      </c>
      <c r="AP22" s="153" t="s">
        <v>15</v>
      </c>
      <c r="AQ22" s="6" t="s">
        <v>15</v>
      </c>
      <c r="AR22" s="7" t="s">
        <v>15</v>
      </c>
      <c r="AS22" s="153" t="s">
        <v>15</v>
      </c>
      <c r="AT22" s="7" t="s">
        <v>15</v>
      </c>
      <c r="AU22" s="7" t="s">
        <v>15</v>
      </c>
      <c r="AV22" s="153" t="s">
        <v>15</v>
      </c>
      <c r="AW22" s="7" t="s">
        <v>15</v>
      </c>
      <c r="AX22" s="7" t="s">
        <v>15</v>
      </c>
      <c r="AY22" s="153" t="s">
        <v>15</v>
      </c>
      <c r="AZ22" s="7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289" t="s">
        <v>540</v>
      </c>
      <c r="B23" s="207">
        <v>5</v>
      </c>
      <c r="C23" s="259">
        <v>0</v>
      </c>
      <c r="D23" s="237">
        <v>0</v>
      </c>
      <c r="E23" s="291">
        <f t="shared" si="3"/>
        <v>5</v>
      </c>
      <c r="F23" s="242" t="s">
        <v>540</v>
      </c>
      <c r="G23" s="243">
        <v>25</v>
      </c>
      <c r="H23" s="333">
        <v>0</v>
      </c>
      <c r="I23" s="244">
        <v>0</v>
      </c>
      <c r="J23" s="245">
        <f t="shared" si="4"/>
        <v>25</v>
      </c>
      <c r="K23" s="289" t="s">
        <v>338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>
        <v>0</v>
      </c>
      <c r="AC23" s="7">
        <v>1</v>
      </c>
      <c r="AD23" s="153">
        <f>SUM(AB23/AC23)*100</f>
        <v>0</v>
      </c>
      <c r="AE23" s="148" t="s">
        <v>15</v>
      </c>
      <c r="AF23" s="7" t="s">
        <v>15</v>
      </c>
      <c r="AG23" s="153" t="s">
        <v>15</v>
      </c>
      <c r="AH23" s="148">
        <v>3</v>
      </c>
      <c r="AI23" s="7">
        <v>6</v>
      </c>
      <c r="AJ23" s="153">
        <f>SUM(AH23/AI23)*100</f>
        <v>50</v>
      </c>
      <c r="AK23" s="148">
        <v>2</v>
      </c>
      <c r="AL23" s="7">
        <v>2</v>
      </c>
      <c r="AM23" s="7">
        <v>100</v>
      </c>
      <c r="AN23" s="148">
        <v>3</v>
      </c>
      <c r="AO23" s="7">
        <v>4</v>
      </c>
      <c r="AP23" s="153">
        <v>75</v>
      </c>
      <c r="AQ23" s="148" t="s">
        <v>15</v>
      </c>
      <c r="AR23" s="7" t="s">
        <v>15</v>
      </c>
      <c r="AS23" s="153" t="s">
        <v>15</v>
      </c>
      <c r="AT23" s="148">
        <v>3</v>
      </c>
      <c r="AU23" s="7">
        <v>10</v>
      </c>
      <c r="AV23" s="7">
        <v>30</v>
      </c>
      <c r="AW23" s="148">
        <v>1</v>
      </c>
      <c r="AX23" s="7">
        <v>1</v>
      </c>
      <c r="AY23" s="153">
        <v>100</v>
      </c>
      <c r="AZ23" s="148">
        <v>1</v>
      </c>
      <c r="BA23" s="7">
        <v>1</v>
      </c>
      <c r="BB23" s="153">
        <v>100</v>
      </c>
    </row>
    <row r="24" spans="1:54" ht="14.95" customHeight="1" thickBot="1" x14ac:dyDescent="0.3">
      <c r="A24" s="289" t="s">
        <v>577</v>
      </c>
      <c r="B24" s="207">
        <v>0</v>
      </c>
      <c r="C24" s="259">
        <v>1</v>
      </c>
      <c r="D24" s="237">
        <v>0</v>
      </c>
      <c r="E24" s="291">
        <f t="shared" si="3"/>
        <v>1</v>
      </c>
      <c r="F24" s="242" t="s">
        <v>577</v>
      </c>
      <c r="G24" s="243">
        <v>0</v>
      </c>
      <c r="H24" s="333">
        <v>5</v>
      </c>
      <c r="I24" s="244">
        <v>0</v>
      </c>
      <c r="J24" s="245">
        <f t="shared" si="4"/>
        <v>5</v>
      </c>
      <c r="K24" s="289" t="s">
        <v>957</v>
      </c>
      <c r="L24" s="7" t="s">
        <v>15</v>
      </c>
      <c r="M24" s="7" t="s">
        <v>15</v>
      </c>
      <c r="N24" s="153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6">
        <v>25</v>
      </c>
      <c r="AC24" s="7">
        <v>30</v>
      </c>
      <c r="AD24" s="153">
        <f>SUM(AB24/AC24)*100</f>
        <v>83.333333333333343</v>
      </c>
      <c r="AE24" s="6" t="s">
        <v>15</v>
      </c>
      <c r="AF24" s="7" t="s">
        <v>15</v>
      </c>
      <c r="AG24" s="153" t="s">
        <v>15</v>
      </c>
      <c r="AH24" s="7" t="s">
        <v>15</v>
      </c>
      <c r="AI24" s="7" t="s">
        <v>15</v>
      </c>
      <c r="AJ24" s="153" t="s">
        <v>15</v>
      </c>
      <c r="AK24" s="7" t="s">
        <v>15</v>
      </c>
      <c r="AL24" s="7" t="s">
        <v>15</v>
      </c>
      <c r="AM24" s="153" t="s">
        <v>15</v>
      </c>
      <c r="AN24" s="7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4" ht="14.95" customHeight="1" thickBot="1" x14ac:dyDescent="0.3">
      <c r="A25" s="289" t="s">
        <v>827</v>
      </c>
      <c r="B25" s="207">
        <v>0</v>
      </c>
      <c r="C25" s="259">
        <v>0</v>
      </c>
      <c r="D25" s="237">
        <v>1</v>
      </c>
      <c r="E25" s="291">
        <f t="shared" si="3"/>
        <v>1</v>
      </c>
      <c r="F25" s="242" t="s">
        <v>827</v>
      </c>
      <c r="G25" s="243">
        <v>0</v>
      </c>
      <c r="H25" s="333">
        <v>0</v>
      </c>
      <c r="I25" s="244">
        <v>5</v>
      </c>
      <c r="J25" s="245">
        <f t="shared" si="4"/>
        <v>5</v>
      </c>
      <c r="K25" s="289" t="s">
        <v>782</v>
      </c>
      <c r="L25" s="7" t="s">
        <v>15</v>
      </c>
      <c r="M25" s="7" t="s">
        <v>15</v>
      </c>
      <c r="N25" s="153" t="s">
        <v>15</v>
      </c>
      <c r="O25" s="7" t="s">
        <v>15</v>
      </c>
      <c r="P25" s="7" t="s">
        <v>15</v>
      </c>
      <c r="Q25" s="153" t="s">
        <v>15</v>
      </c>
      <c r="R25" s="7">
        <v>9</v>
      </c>
      <c r="S25" s="7">
        <v>9</v>
      </c>
      <c r="T25" s="153">
        <v>100</v>
      </c>
      <c r="U25" s="7" t="s">
        <v>15</v>
      </c>
      <c r="V25" s="7" t="s">
        <v>15</v>
      </c>
      <c r="W25" s="153" t="s">
        <v>15</v>
      </c>
      <c r="AB25" s="148" t="s">
        <v>15</v>
      </c>
      <c r="AC25" s="7" t="s">
        <v>15</v>
      </c>
      <c r="AD25" s="153" t="s">
        <v>15</v>
      </c>
      <c r="AE25" s="148" t="s">
        <v>15</v>
      </c>
      <c r="AF25" s="7" t="s">
        <v>15</v>
      </c>
      <c r="AG25" s="153" t="s">
        <v>15</v>
      </c>
      <c r="AH25" s="148" t="s">
        <v>15</v>
      </c>
      <c r="AI25" s="7" t="s">
        <v>15</v>
      </c>
      <c r="AJ25" s="153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7" t="s">
        <v>15</v>
      </c>
      <c r="AP25" s="7" t="s">
        <v>15</v>
      </c>
      <c r="AQ25" s="148" t="s">
        <v>15</v>
      </c>
      <c r="AR25" s="7" t="s">
        <v>15</v>
      </c>
      <c r="AS25" s="7" t="s">
        <v>15</v>
      </c>
      <c r="AT25" s="148" t="s">
        <v>15</v>
      </c>
      <c r="AU25" s="7" t="s">
        <v>15</v>
      </c>
      <c r="AV25" s="7" t="s">
        <v>15</v>
      </c>
      <c r="AW25" s="148" t="s">
        <v>15</v>
      </c>
      <c r="AX25" s="7" t="s">
        <v>15</v>
      </c>
      <c r="AY25" s="153" t="s">
        <v>15</v>
      </c>
      <c r="AZ25" s="148" t="s">
        <v>15</v>
      </c>
      <c r="BA25" s="7" t="s">
        <v>15</v>
      </c>
      <c r="BB25" s="153" t="s">
        <v>15</v>
      </c>
    </row>
    <row r="26" spans="1:54" ht="14.95" customHeight="1" thickBot="1" x14ac:dyDescent="0.3">
      <c r="A26" s="289" t="s">
        <v>829</v>
      </c>
      <c r="B26" s="207">
        <v>0</v>
      </c>
      <c r="C26" s="259">
        <v>0</v>
      </c>
      <c r="D26" s="237">
        <v>0</v>
      </c>
      <c r="E26" s="291">
        <f t="shared" si="3"/>
        <v>0</v>
      </c>
      <c r="F26" s="242" t="s">
        <v>829</v>
      </c>
      <c r="G26" s="243">
        <v>0</v>
      </c>
      <c r="H26" s="333">
        <v>0</v>
      </c>
      <c r="I26" s="244">
        <v>0</v>
      </c>
      <c r="J26" s="245">
        <f t="shared" si="4"/>
        <v>0</v>
      </c>
      <c r="K26" s="289" t="s">
        <v>320</v>
      </c>
      <c r="L26" s="7" t="s">
        <v>15</v>
      </c>
      <c r="M26" s="7" t="s">
        <v>15</v>
      </c>
      <c r="N26" s="153" t="s">
        <v>15</v>
      </c>
      <c r="O26" s="7" t="s">
        <v>15</v>
      </c>
      <c r="P26" s="7" t="s">
        <v>15</v>
      </c>
      <c r="Q26" s="153" t="s">
        <v>15</v>
      </c>
      <c r="R26" s="7" t="s">
        <v>15</v>
      </c>
      <c r="S26" s="7" t="s">
        <v>15</v>
      </c>
      <c r="T26" s="153" t="s">
        <v>15</v>
      </c>
      <c r="U26" s="7" t="s">
        <v>15</v>
      </c>
      <c r="V26" s="7" t="s">
        <v>15</v>
      </c>
      <c r="W26" s="153" t="s">
        <v>15</v>
      </c>
      <c r="AB26" s="148" t="s">
        <v>15</v>
      </c>
      <c r="AC26" s="7" t="s">
        <v>15</v>
      </c>
      <c r="AD26" s="153" t="s">
        <v>15</v>
      </c>
      <c r="AE26" s="148" t="s">
        <v>15</v>
      </c>
      <c r="AF26" s="7" t="s">
        <v>15</v>
      </c>
      <c r="AG26" s="153" t="s">
        <v>15</v>
      </c>
      <c r="AH26" s="148" t="s">
        <v>15</v>
      </c>
      <c r="AI26" s="7" t="s">
        <v>15</v>
      </c>
      <c r="AJ26" s="153" t="s">
        <v>15</v>
      </c>
      <c r="AK26" s="148">
        <v>11</v>
      </c>
      <c r="AL26" s="7">
        <v>13</v>
      </c>
      <c r="AM26" s="153">
        <f>SUM(AK26/AL26)*100</f>
        <v>84.615384615384613</v>
      </c>
      <c r="AN26" s="148" t="s">
        <v>15</v>
      </c>
      <c r="AO26" s="7" t="s">
        <v>15</v>
      </c>
      <c r="AP26" s="7" t="s">
        <v>15</v>
      </c>
      <c r="AQ26" s="148">
        <v>2</v>
      </c>
      <c r="AR26" s="7">
        <v>5</v>
      </c>
      <c r="AS26" s="153">
        <f>SUM(AQ26/AR26)*100</f>
        <v>40</v>
      </c>
      <c r="AT26" s="148" t="s">
        <v>15</v>
      </c>
      <c r="AU26" s="7" t="s">
        <v>15</v>
      </c>
      <c r="AV26" s="7" t="s">
        <v>15</v>
      </c>
      <c r="AW26" s="148">
        <v>4</v>
      </c>
      <c r="AX26" s="7">
        <v>4</v>
      </c>
      <c r="AY26" s="153">
        <f>SUM(AW26/AX26)*100</f>
        <v>100</v>
      </c>
      <c r="AZ26" s="148" t="s">
        <v>15</v>
      </c>
      <c r="BA26" s="7" t="s">
        <v>15</v>
      </c>
      <c r="BB26" s="7" t="s">
        <v>15</v>
      </c>
    </row>
    <row r="27" spans="1:54" ht="14.95" customHeight="1" thickBot="1" x14ac:dyDescent="0.3">
      <c r="A27" s="289" t="s">
        <v>445</v>
      </c>
      <c r="B27" s="207">
        <v>0</v>
      </c>
      <c r="C27" s="259">
        <v>0</v>
      </c>
      <c r="D27" s="237">
        <v>1</v>
      </c>
      <c r="E27" s="291">
        <f t="shared" si="3"/>
        <v>1</v>
      </c>
      <c r="F27" s="242" t="s">
        <v>445</v>
      </c>
      <c r="G27" s="243">
        <v>0</v>
      </c>
      <c r="H27" s="333">
        <v>0</v>
      </c>
      <c r="I27" s="244">
        <v>5</v>
      </c>
      <c r="J27" s="245">
        <f t="shared" si="4"/>
        <v>5</v>
      </c>
      <c r="K27" s="566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AB27" s="172"/>
      <c r="AC27" s="86"/>
      <c r="AD27" s="86"/>
      <c r="AE27" s="172"/>
      <c r="AF27" s="86"/>
      <c r="AG27" s="173"/>
      <c r="AH27" s="86"/>
      <c r="AI27" s="86"/>
      <c r="AJ27" s="173"/>
    </row>
    <row r="28" spans="1:54" ht="14.95" customHeight="1" thickBot="1" x14ac:dyDescent="0.3">
      <c r="A28" s="289" t="s">
        <v>927</v>
      </c>
      <c r="B28" s="207">
        <v>0</v>
      </c>
      <c r="C28" s="259">
        <v>0</v>
      </c>
      <c r="D28" s="237">
        <v>0</v>
      </c>
      <c r="E28" s="291">
        <f t="shared" si="3"/>
        <v>0</v>
      </c>
      <c r="F28" s="242" t="s">
        <v>927</v>
      </c>
      <c r="G28" s="243">
        <v>0</v>
      </c>
      <c r="H28" s="333">
        <v>0</v>
      </c>
      <c r="I28" s="244">
        <v>0</v>
      </c>
      <c r="J28" s="245">
        <f t="shared" si="4"/>
        <v>0</v>
      </c>
      <c r="K28" s="479" t="s">
        <v>1032</v>
      </c>
      <c r="L28" s="481" t="s">
        <v>14</v>
      </c>
      <c r="M28" s="482"/>
      <c r="N28" s="483"/>
      <c r="O28" s="457" t="s">
        <v>234</v>
      </c>
      <c r="P28" s="458"/>
      <c r="Q28" s="459"/>
      <c r="R28" s="457" t="s">
        <v>903</v>
      </c>
      <c r="S28" s="458"/>
      <c r="T28" s="459"/>
      <c r="U28" s="457" t="s">
        <v>601</v>
      </c>
      <c r="V28" s="458"/>
      <c r="W28" s="459"/>
      <c r="AB28" s="457" t="s">
        <v>494</v>
      </c>
      <c r="AC28" s="458"/>
      <c r="AD28" s="459"/>
      <c r="AE28" s="457" t="s">
        <v>313</v>
      </c>
      <c r="AF28" s="458"/>
      <c r="AG28" s="459"/>
      <c r="AH28" s="457" t="s">
        <v>227</v>
      </c>
      <c r="AI28" s="458"/>
      <c r="AJ28" s="459"/>
      <c r="AK28" s="457" t="s">
        <v>172</v>
      </c>
      <c r="AL28" s="458"/>
      <c r="AM28" s="459"/>
      <c r="AN28" s="457" t="s">
        <v>79</v>
      </c>
      <c r="AO28" s="458"/>
      <c r="AP28" s="459"/>
      <c r="AQ28" s="457" t="s">
        <v>50</v>
      </c>
      <c r="AR28" s="458"/>
      <c r="AS28" s="459"/>
      <c r="AT28" s="457" t="s">
        <v>37</v>
      </c>
      <c r="AU28" s="458"/>
      <c r="AV28" s="459"/>
    </row>
    <row r="29" spans="1:54" ht="14.95" customHeight="1" thickBot="1" x14ac:dyDescent="0.3">
      <c r="A29" s="289" t="s">
        <v>267</v>
      </c>
      <c r="B29" s="207">
        <v>1</v>
      </c>
      <c r="C29" s="259">
        <v>0</v>
      </c>
      <c r="D29" s="237">
        <v>0</v>
      </c>
      <c r="E29" s="291">
        <f t="shared" si="3"/>
        <v>1</v>
      </c>
      <c r="F29" s="242" t="s">
        <v>267</v>
      </c>
      <c r="G29" s="243">
        <v>5</v>
      </c>
      <c r="H29" s="333">
        <v>0</v>
      </c>
      <c r="I29" s="244">
        <v>0</v>
      </c>
      <c r="J29" s="245">
        <f t="shared" si="4"/>
        <v>5</v>
      </c>
      <c r="K29" s="480"/>
      <c r="L29" s="484"/>
      <c r="M29" s="485"/>
      <c r="N29" s="486"/>
      <c r="O29" s="460"/>
      <c r="P29" s="461"/>
      <c r="Q29" s="462"/>
      <c r="R29" s="460"/>
      <c r="S29" s="461"/>
      <c r="T29" s="462"/>
      <c r="U29" s="460"/>
      <c r="V29" s="461"/>
      <c r="W29" s="462"/>
      <c r="AB29" s="460"/>
      <c r="AC29" s="461"/>
      <c r="AD29" s="462"/>
      <c r="AE29" s="460"/>
      <c r="AF29" s="461"/>
      <c r="AG29" s="462"/>
      <c r="AH29" s="460"/>
      <c r="AI29" s="461"/>
      <c r="AJ29" s="462"/>
      <c r="AK29" s="460"/>
      <c r="AL29" s="461"/>
      <c r="AM29" s="462"/>
      <c r="AN29" s="460"/>
      <c r="AO29" s="461"/>
      <c r="AP29" s="462"/>
      <c r="AQ29" s="460"/>
      <c r="AR29" s="461"/>
      <c r="AS29" s="462"/>
      <c r="AT29" s="460"/>
      <c r="AU29" s="461"/>
      <c r="AV29" s="462"/>
    </row>
    <row r="30" spans="1:54" ht="14.95" customHeight="1" thickBot="1" x14ac:dyDescent="0.3">
      <c r="A30" s="289" t="s">
        <v>306</v>
      </c>
      <c r="B30" s="207">
        <v>0</v>
      </c>
      <c r="C30" s="259">
        <v>0</v>
      </c>
      <c r="D30" s="237">
        <v>0</v>
      </c>
      <c r="E30" s="291">
        <f t="shared" si="3"/>
        <v>0</v>
      </c>
      <c r="F30" s="242" t="s">
        <v>306</v>
      </c>
      <c r="G30" s="243">
        <v>0</v>
      </c>
      <c r="H30" s="333">
        <v>0</v>
      </c>
      <c r="I30" s="244">
        <v>0</v>
      </c>
      <c r="J30" s="245">
        <f t="shared" si="4"/>
        <v>0</v>
      </c>
      <c r="K30" s="366" t="s">
        <v>21</v>
      </c>
      <c r="L30" s="3" t="s">
        <v>46</v>
      </c>
      <c r="M30" s="3" t="s">
        <v>9</v>
      </c>
      <c r="N30" s="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4" ht="14.95" customHeight="1" thickBot="1" x14ac:dyDescent="0.3">
      <c r="A31" s="289" t="s">
        <v>174</v>
      </c>
      <c r="B31" s="207">
        <v>1</v>
      </c>
      <c r="C31" s="259">
        <v>0</v>
      </c>
      <c r="D31" s="237">
        <v>3</v>
      </c>
      <c r="E31" s="291">
        <f t="shared" si="3"/>
        <v>4</v>
      </c>
      <c r="F31" s="242" t="s">
        <v>174</v>
      </c>
      <c r="G31" s="243">
        <v>5</v>
      </c>
      <c r="H31" s="333">
        <v>0</v>
      </c>
      <c r="I31" s="244">
        <v>15</v>
      </c>
      <c r="J31" s="245">
        <f t="shared" si="4"/>
        <v>20</v>
      </c>
      <c r="K31" s="289" t="s">
        <v>21</v>
      </c>
      <c r="L31" s="291" t="s">
        <v>15</v>
      </c>
      <c r="M31" s="291" t="s">
        <v>15</v>
      </c>
      <c r="N31" s="292" t="s">
        <v>15</v>
      </c>
      <c r="O31" s="6">
        <v>8</v>
      </c>
      <c r="P31" s="6">
        <v>12</v>
      </c>
      <c r="Q31" s="157">
        <v>66.666666666666657</v>
      </c>
      <c r="R31" s="6" t="s">
        <v>15</v>
      </c>
      <c r="S31" s="6" t="s">
        <v>15</v>
      </c>
      <c r="T31" s="157" t="s">
        <v>15</v>
      </c>
      <c r="U31" s="6" t="s">
        <v>15</v>
      </c>
      <c r="V31" s="6" t="s">
        <v>15</v>
      </c>
      <c r="W31" s="157" t="s">
        <v>15</v>
      </c>
      <c r="AB31" s="148">
        <v>7</v>
      </c>
      <c r="AC31" s="7">
        <v>8</v>
      </c>
      <c r="AD31" s="153">
        <v>87.5</v>
      </c>
      <c r="AE31" s="6">
        <v>9</v>
      </c>
      <c r="AF31" s="6">
        <v>9</v>
      </c>
      <c r="AG31" s="6">
        <f>SUM(AE31/AF31)*100</f>
        <v>100</v>
      </c>
      <c r="AH31" s="6">
        <v>1</v>
      </c>
      <c r="AI31" s="6">
        <v>1</v>
      </c>
      <c r="AJ31" s="153">
        <f t="shared" ref="AJ31" si="7">SUM(AH31/AI31)*100</f>
        <v>100</v>
      </c>
      <c r="AK31" s="6"/>
      <c r="AL31" s="7"/>
      <c r="AM31" s="153"/>
      <c r="AN31" s="7"/>
      <c r="AO31" s="7"/>
      <c r="AP31" s="153"/>
      <c r="AQ31" s="7"/>
      <c r="AR31" s="7"/>
      <c r="AS31" s="153"/>
      <c r="AT31" s="7"/>
      <c r="AU31" s="7"/>
      <c r="AV31" s="153"/>
    </row>
    <row r="32" spans="1:54" ht="14.95" customHeight="1" thickBot="1" x14ac:dyDescent="0.3">
      <c r="A32" s="289" t="s">
        <v>760</v>
      </c>
      <c r="B32" s="207">
        <v>0</v>
      </c>
      <c r="C32" s="259">
        <v>0</v>
      </c>
      <c r="D32" s="237">
        <v>0</v>
      </c>
      <c r="E32" s="291">
        <f t="shared" si="3"/>
        <v>0</v>
      </c>
      <c r="F32" s="242" t="s">
        <v>760</v>
      </c>
      <c r="G32" s="243">
        <v>0</v>
      </c>
      <c r="H32" s="333">
        <v>0</v>
      </c>
      <c r="I32" s="244">
        <v>25</v>
      </c>
      <c r="J32" s="245">
        <f t="shared" si="4"/>
        <v>25</v>
      </c>
      <c r="K32" s="289" t="s">
        <v>450</v>
      </c>
      <c r="L32" s="291" t="s">
        <v>15</v>
      </c>
      <c r="M32" s="291" t="s">
        <v>15</v>
      </c>
      <c r="N32" s="292" t="s">
        <v>15</v>
      </c>
      <c r="O32" s="6" t="s">
        <v>15</v>
      </c>
      <c r="P32" s="6" t="s">
        <v>15</v>
      </c>
      <c r="Q32" s="157" t="s">
        <v>15</v>
      </c>
      <c r="R32" s="6" t="s">
        <v>15</v>
      </c>
      <c r="S32" s="6" t="s">
        <v>15</v>
      </c>
      <c r="T32" s="157" t="s">
        <v>15</v>
      </c>
      <c r="U32" s="7">
        <v>2</v>
      </c>
      <c r="V32" s="7">
        <v>2</v>
      </c>
      <c r="W32" s="153">
        <v>100</v>
      </c>
      <c r="AB32" s="148" t="s">
        <v>15</v>
      </c>
      <c r="AC32" s="7" t="s">
        <v>15</v>
      </c>
      <c r="AD32" s="153" t="s">
        <v>15</v>
      </c>
      <c r="AE32" s="148" t="s">
        <v>15</v>
      </c>
      <c r="AF32" s="7" t="s">
        <v>15</v>
      </c>
      <c r="AG32" s="153" t="s">
        <v>15</v>
      </c>
      <c r="AH32" s="148" t="s">
        <v>15</v>
      </c>
      <c r="AI32" s="7" t="s">
        <v>15</v>
      </c>
      <c r="AJ32" s="153" t="s">
        <v>15</v>
      </c>
      <c r="AK32" s="6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5" ht="14.95" customHeight="1" thickBot="1" x14ac:dyDescent="0.3">
      <c r="A33" s="289" t="s">
        <v>1073</v>
      </c>
      <c r="B33" s="207">
        <v>0</v>
      </c>
      <c r="C33" s="259">
        <v>0</v>
      </c>
      <c r="D33" s="237">
        <v>1</v>
      </c>
      <c r="E33" s="291">
        <f t="shared" si="3"/>
        <v>1</v>
      </c>
      <c r="F33" s="242" t="s">
        <v>1073</v>
      </c>
      <c r="G33" s="243">
        <v>0</v>
      </c>
      <c r="H33" s="333">
        <v>0</v>
      </c>
      <c r="I33" s="244">
        <v>5</v>
      </c>
      <c r="J33" s="245">
        <f t="shared" si="4"/>
        <v>5</v>
      </c>
      <c r="K33" s="289" t="s">
        <v>782</v>
      </c>
      <c r="L33" s="291">
        <v>12</v>
      </c>
      <c r="M33" s="291">
        <v>23</v>
      </c>
      <c r="N33" s="292">
        <f t="shared" ref="N33" si="8">SUM(L33/M33)*100</f>
        <v>52.173913043478258</v>
      </c>
      <c r="O33" s="7">
        <v>8</v>
      </c>
      <c r="P33" s="7">
        <v>15</v>
      </c>
      <c r="Q33" s="153">
        <v>53.333333333333336</v>
      </c>
      <c r="R33" s="7">
        <v>10</v>
      </c>
      <c r="S33" s="7">
        <v>12</v>
      </c>
      <c r="T33" s="153">
        <v>83</v>
      </c>
      <c r="U33" s="7">
        <v>1</v>
      </c>
      <c r="V33" s="7">
        <v>1</v>
      </c>
      <c r="W33" s="153">
        <v>100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</row>
    <row r="34" spans="1:55" ht="14.95" customHeight="1" thickBot="1" x14ac:dyDescent="0.3">
      <c r="A34" s="289" t="s">
        <v>468</v>
      </c>
      <c r="B34" s="207">
        <v>0</v>
      </c>
      <c r="C34" s="259">
        <v>0</v>
      </c>
      <c r="D34" s="237">
        <v>0</v>
      </c>
      <c r="E34" s="291">
        <f t="shared" ref="E34" si="9">SUM(B34:D34)</f>
        <v>0</v>
      </c>
      <c r="F34" s="242" t="s">
        <v>468</v>
      </c>
      <c r="G34" s="243">
        <v>0</v>
      </c>
      <c r="H34" s="333">
        <v>0</v>
      </c>
      <c r="I34" s="244">
        <v>0</v>
      </c>
      <c r="J34" s="245">
        <f t="shared" ref="J34" si="10">SUM(G34:I34)</f>
        <v>0</v>
      </c>
      <c r="K34" s="288" t="s">
        <v>320</v>
      </c>
      <c r="L34" s="291" t="s">
        <v>15</v>
      </c>
      <c r="M34" s="291" t="s">
        <v>15</v>
      </c>
      <c r="N34" s="292" t="s">
        <v>15</v>
      </c>
      <c r="O34" s="6" t="s">
        <v>15</v>
      </c>
      <c r="P34" s="6" t="s">
        <v>15</v>
      </c>
      <c r="Q34" s="157" t="s">
        <v>15</v>
      </c>
      <c r="R34" s="6">
        <v>6</v>
      </c>
      <c r="S34" s="6">
        <v>7</v>
      </c>
      <c r="T34" s="157">
        <v>86</v>
      </c>
      <c r="U34" s="6" t="s">
        <v>15</v>
      </c>
      <c r="V34" s="6" t="s">
        <v>15</v>
      </c>
      <c r="W34" s="157" t="s">
        <v>15</v>
      </c>
      <c r="AB34" s="6" t="s">
        <v>15</v>
      </c>
      <c r="AC34" s="6" t="s">
        <v>15</v>
      </c>
      <c r="AD34" s="157" t="s">
        <v>15</v>
      </c>
      <c r="AE34" s="6" t="s">
        <v>15</v>
      </c>
      <c r="AF34" s="6" t="s">
        <v>15</v>
      </c>
      <c r="AG34" s="157" t="s">
        <v>15</v>
      </c>
      <c r="AH34" s="148">
        <v>11</v>
      </c>
      <c r="AI34" s="7">
        <v>12</v>
      </c>
      <c r="AJ34" s="153">
        <f>SUM(AH34/AI34)*100</f>
        <v>91.666666666666657</v>
      </c>
      <c r="AK34" s="148">
        <v>0</v>
      </c>
      <c r="AL34" s="7">
        <v>1</v>
      </c>
      <c r="AM34" s="153">
        <f>SUM(AK34/AL34)*100</f>
        <v>0</v>
      </c>
      <c r="AN34" s="148">
        <v>0</v>
      </c>
      <c r="AO34" s="7">
        <v>1</v>
      </c>
      <c r="AP34" s="153">
        <f>SUM(AN34/AO34)*100</f>
        <v>0</v>
      </c>
      <c r="AQ34" s="148">
        <v>21</v>
      </c>
      <c r="AR34" s="7">
        <v>25</v>
      </c>
      <c r="AS34" s="153">
        <f>SUM(AQ34/AR34)*100</f>
        <v>84</v>
      </c>
      <c r="AT34" s="148" t="s">
        <v>15</v>
      </c>
      <c r="AU34" s="7" t="s">
        <v>15</v>
      </c>
      <c r="AV34" s="7" t="s">
        <v>15</v>
      </c>
    </row>
    <row r="35" spans="1:55" ht="14.95" customHeight="1" thickBot="1" x14ac:dyDescent="0.3">
      <c r="A35" s="289" t="s">
        <v>320</v>
      </c>
      <c r="B35" s="207">
        <v>0</v>
      </c>
      <c r="C35" s="259">
        <v>0</v>
      </c>
      <c r="D35" s="237">
        <v>0</v>
      </c>
      <c r="E35" s="291">
        <f t="shared" si="3"/>
        <v>0</v>
      </c>
      <c r="F35" s="242" t="s">
        <v>320</v>
      </c>
      <c r="G35" s="243">
        <v>0</v>
      </c>
      <c r="H35" s="333">
        <v>0</v>
      </c>
      <c r="I35" s="244">
        <v>0</v>
      </c>
      <c r="J35" s="245">
        <f t="shared" si="4"/>
        <v>0</v>
      </c>
      <c r="K35" s="288" t="s">
        <v>17</v>
      </c>
      <c r="L35" s="291" t="s">
        <v>15</v>
      </c>
      <c r="M35" s="291" t="s">
        <v>15</v>
      </c>
      <c r="N35" s="292" t="s">
        <v>15</v>
      </c>
      <c r="O35" s="6" t="s">
        <v>15</v>
      </c>
      <c r="P35" s="6" t="s">
        <v>15</v>
      </c>
      <c r="Q35" s="157" t="s">
        <v>15</v>
      </c>
      <c r="R35" s="6">
        <v>3</v>
      </c>
      <c r="S35" s="6">
        <v>3</v>
      </c>
      <c r="T35" s="157">
        <v>100</v>
      </c>
      <c r="U35" s="6" t="s">
        <v>15</v>
      </c>
      <c r="V35" s="6" t="s">
        <v>15</v>
      </c>
      <c r="W35" s="157" t="s">
        <v>15</v>
      </c>
      <c r="AB35" s="6" t="s">
        <v>15</v>
      </c>
      <c r="AC35" s="6" t="s">
        <v>15</v>
      </c>
      <c r="AD35" s="157" t="s">
        <v>15</v>
      </c>
      <c r="AE35" s="6" t="s">
        <v>15</v>
      </c>
      <c r="AF35" s="6" t="s">
        <v>15</v>
      </c>
      <c r="AG35" s="157" t="s">
        <v>15</v>
      </c>
      <c r="AH35" s="6" t="s">
        <v>15</v>
      </c>
      <c r="AI35" s="6" t="s">
        <v>15</v>
      </c>
      <c r="AJ35" s="157" t="s">
        <v>15</v>
      </c>
      <c r="AK35" s="6" t="s">
        <v>15</v>
      </c>
      <c r="AL35" s="6" t="s">
        <v>15</v>
      </c>
      <c r="AM35" s="157" t="s">
        <v>15</v>
      </c>
      <c r="AN35" s="6" t="s">
        <v>15</v>
      </c>
      <c r="AO35" s="6" t="s">
        <v>15</v>
      </c>
      <c r="AP35" s="157" t="s">
        <v>15</v>
      </c>
      <c r="AQ35" s="6" t="s">
        <v>15</v>
      </c>
      <c r="AR35" s="6" t="s">
        <v>15</v>
      </c>
      <c r="AS35" s="157" t="s">
        <v>15</v>
      </c>
      <c r="AT35" s="6" t="s">
        <v>15</v>
      </c>
      <c r="AU35" s="6" t="s">
        <v>15</v>
      </c>
      <c r="AV35" s="157" t="s">
        <v>15</v>
      </c>
      <c r="BC35" s="70"/>
    </row>
    <row r="36" spans="1:55" ht="14.95" customHeight="1" thickBot="1" x14ac:dyDescent="0.3">
      <c r="A36" s="289" t="s">
        <v>956</v>
      </c>
      <c r="B36" s="207">
        <v>5</v>
      </c>
      <c r="C36" s="259">
        <v>1</v>
      </c>
      <c r="D36" s="237">
        <v>1</v>
      </c>
      <c r="E36" s="291">
        <f t="shared" si="3"/>
        <v>7</v>
      </c>
      <c r="F36" s="242" t="s">
        <v>956</v>
      </c>
      <c r="G36" s="243">
        <v>25</v>
      </c>
      <c r="H36" s="333">
        <v>5</v>
      </c>
      <c r="I36" s="244">
        <v>5</v>
      </c>
      <c r="J36" s="245">
        <f t="shared" si="4"/>
        <v>35</v>
      </c>
      <c r="K36" s="471" t="s">
        <v>929</v>
      </c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/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464"/>
      <c r="AQ36" s="464"/>
      <c r="AR36" s="464"/>
      <c r="AS36" s="464"/>
      <c r="AT36" s="70"/>
      <c r="AU36" s="70"/>
      <c r="AV36" s="70"/>
    </row>
    <row r="37" spans="1:55" ht="14.95" customHeight="1" thickBot="1" x14ac:dyDescent="0.3">
      <c r="A37" s="289" t="s">
        <v>309</v>
      </c>
      <c r="B37" s="207">
        <v>0</v>
      </c>
      <c r="C37" s="259">
        <v>0</v>
      </c>
      <c r="D37" s="237">
        <v>0</v>
      </c>
      <c r="E37" s="291">
        <f t="shared" si="3"/>
        <v>0</v>
      </c>
      <c r="F37" s="242" t="s">
        <v>309</v>
      </c>
      <c r="G37" s="243">
        <v>0</v>
      </c>
      <c r="H37" s="333">
        <v>0</v>
      </c>
      <c r="I37" s="244">
        <v>0</v>
      </c>
      <c r="J37" s="245">
        <f t="shared" si="4"/>
        <v>0</v>
      </c>
      <c r="K37" s="471" t="s">
        <v>958</v>
      </c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</row>
    <row r="38" spans="1:55" ht="14.95" customHeight="1" thickBot="1" x14ac:dyDescent="0.3">
      <c r="A38" s="289" t="s">
        <v>318</v>
      </c>
      <c r="B38" s="207">
        <v>3</v>
      </c>
      <c r="C38" s="259">
        <v>0</v>
      </c>
      <c r="D38" s="237">
        <v>0</v>
      </c>
      <c r="E38" s="291">
        <f t="shared" si="3"/>
        <v>3</v>
      </c>
      <c r="F38" s="242" t="s">
        <v>318</v>
      </c>
      <c r="G38" s="243">
        <v>15</v>
      </c>
      <c r="H38" s="333">
        <v>0</v>
      </c>
      <c r="I38" s="244">
        <v>0</v>
      </c>
      <c r="J38" s="245">
        <f t="shared" si="4"/>
        <v>15</v>
      </c>
      <c r="K38" s="471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</row>
    <row r="39" spans="1:55" ht="14.95" customHeight="1" thickBot="1" x14ac:dyDescent="0.3">
      <c r="A39" s="289" t="s">
        <v>774</v>
      </c>
      <c r="B39" s="207">
        <v>0</v>
      </c>
      <c r="C39" s="259">
        <v>0</v>
      </c>
      <c r="D39" s="237">
        <v>0</v>
      </c>
      <c r="E39" s="291">
        <f t="shared" si="3"/>
        <v>0</v>
      </c>
      <c r="F39" s="242" t="s">
        <v>774</v>
      </c>
      <c r="G39" s="243">
        <v>0</v>
      </c>
      <c r="H39" s="333">
        <v>0</v>
      </c>
      <c r="I39" s="244">
        <v>0</v>
      </c>
      <c r="J39" s="245">
        <f t="shared" si="4"/>
        <v>0</v>
      </c>
    </row>
    <row r="40" spans="1:55" ht="14.95" customHeight="1" thickBot="1" x14ac:dyDescent="0.3">
      <c r="A40" s="289" t="s">
        <v>775</v>
      </c>
      <c r="B40" s="207">
        <v>0</v>
      </c>
      <c r="C40" s="259">
        <v>0</v>
      </c>
      <c r="D40" s="237">
        <v>2</v>
      </c>
      <c r="E40" s="291">
        <f t="shared" si="3"/>
        <v>2</v>
      </c>
      <c r="F40" s="242" t="s">
        <v>775</v>
      </c>
      <c r="G40" s="243">
        <v>0</v>
      </c>
      <c r="H40" s="333">
        <v>0</v>
      </c>
      <c r="I40" s="244">
        <v>10</v>
      </c>
      <c r="J40" s="245">
        <f t="shared" si="4"/>
        <v>10</v>
      </c>
    </row>
    <row r="41" spans="1:55" ht="14.95" customHeight="1" thickBot="1" x14ac:dyDescent="0.3">
      <c r="A41" s="289" t="s">
        <v>784</v>
      </c>
      <c r="B41" s="207">
        <v>1</v>
      </c>
      <c r="C41" s="259">
        <v>0</v>
      </c>
      <c r="D41" s="237">
        <v>0</v>
      </c>
      <c r="E41" s="291">
        <f t="shared" si="3"/>
        <v>1</v>
      </c>
      <c r="F41" s="242" t="s">
        <v>784</v>
      </c>
      <c r="G41" s="243">
        <v>5</v>
      </c>
      <c r="H41" s="333">
        <v>0</v>
      </c>
      <c r="I41" s="244">
        <v>0</v>
      </c>
      <c r="J41" s="245">
        <f t="shared" si="4"/>
        <v>5</v>
      </c>
    </row>
    <row r="42" spans="1:55" ht="14.95" customHeight="1" thickBot="1" x14ac:dyDescent="0.3">
      <c r="A42" s="289" t="s">
        <v>4</v>
      </c>
      <c r="B42" s="207">
        <v>2</v>
      </c>
      <c r="C42" s="259">
        <v>0</v>
      </c>
      <c r="D42" s="237">
        <v>0</v>
      </c>
      <c r="E42" s="291">
        <f t="shared" si="3"/>
        <v>2</v>
      </c>
      <c r="F42" s="242" t="s">
        <v>4</v>
      </c>
      <c r="G42" s="243">
        <v>14</v>
      </c>
      <c r="H42" s="333">
        <v>0</v>
      </c>
      <c r="I42" s="244">
        <v>0</v>
      </c>
      <c r="J42" s="245">
        <f t="shared" si="4"/>
        <v>14</v>
      </c>
    </row>
    <row r="43" spans="1:55" ht="14.95" customHeight="1" thickBot="1" x14ac:dyDescent="0.3">
      <c r="A43" s="289" t="s">
        <v>317</v>
      </c>
      <c r="B43" s="207">
        <v>0</v>
      </c>
      <c r="C43" s="259">
        <v>0</v>
      </c>
      <c r="D43" s="237">
        <v>0</v>
      </c>
      <c r="E43" s="291">
        <f t="shared" si="3"/>
        <v>0</v>
      </c>
      <c r="F43" s="242" t="s">
        <v>317</v>
      </c>
      <c r="G43" s="243">
        <v>0</v>
      </c>
      <c r="H43" s="333">
        <v>0</v>
      </c>
      <c r="I43" s="244">
        <v>0</v>
      </c>
      <c r="J43" s="245">
        <f t="shared" si="4"/>
        <v>0</v>
      </c>
    </row>
    <row r="44" spans="1:55" ht="14.95" customHeight="1" thickBot="1" x14ac:dyDescent="0.3">
      <c r="A44" s="289" t="s">
        <v>304</v>
      </c>
      <c r="B44" s="207">
        <v>0</v>
      </c>
      <c r="C44" s="259">
        <v>2</v>
      </c>
      <c r="D44" s="237">
        <v>2</v>
      </c>
      <c r="E44" s="291">
        <f t="shared" si="3"/>
        <v>4</v>
      </c>
      <c r="F44" s="242" t="s">
        <v>304</v>
      </c>
      <c r="G44" s="243">
        <v>0</v>
      </c>
      <c r="H44" s="333">
        <v>10</v>
      </c>
      <c r="I44" s="244">
        <v>10</v>
      </c>
      <c r="J44" s="245">
        <f t="shared" si="4"/>
        <v>20</v>
      </c>
    </row>
    <row r="45" spans="1:55" ht="14.95" customHeight="1" thickBot="1" x14ac:dyDescent="0.3">
      <c r="A45" s="289" t="s">
        <v>17</v>
      </c>
      <c r="B45" s="207">
        <v>0</v>
      </c>
      <c r="C45" s="259">
        <v>0</v>
      </c>
      <c r="D45" s="237">
        <v>0</v>
      </c>
      <c r="E45" s="291">
        <f t="shared" si="3"/>
        <v>0</v>
      </c>
      <c r="F45" s="242" t="s">
        <v>17</v>
      </c>
      <c r="G45" s="243">
        <v>0</v>
      </c>
      <c r="H45" s="333">
        <v>0</v>
      </c>
      <c r="I45" s="244">
        <v>0</v>
      </c>
      <c r="J45" s="245">
        <f t="shared" si="4"/>
        <v>0</v>
      </c>
    </row>
    <row r="46" spans="1:55" ht="14.95" customHeight="1" thickBot="1" x14ac:dyDescent="0.3">
      <c r="A46" s="289" t="s">
        <v>756</v>
      </c>
      <c r="B46" s="207">
        <v>0</v>
      </c>
      <c r="C46" s="259">
        <v>1</v>
      </c>
      <c r="D46" s="237">
        <v>1</v>
      </c>
      <c r="E46" s="291">
        <f t="shared" si="3"/>
        <v>2</v>
      </c>
      <c r="F46" s="242" t="s">
        <v>756</v>
      </c>
      <c r="G46" s="243">
        <v>0</v>
      </c>
      <c r="H46" s="333">
        <v>5</v>
      </c>
      <c r="I46" s="244">
        <v>5</v>
      </c>
      <c r="J46" s="245">
        <f t="shared" si="4"/>
        <v>10</v>
      </c>
    </row>
    <row r="47" spans="1:55" ht="14.95" customHeight="1" thickBot="1" x14ac:dyDescent="0.3">
      <c r="A47" s="289" t="s">
        <v>838</v>
      </c>
      <c r="B47" s="207">
        <v>0</v>
      </c>
      <c r="C47" s="259">
        <v>0</v>
      </c>
      <c r="D47" s="237">
        <v>0</v>
      </c>
      <c r="E47" s="291">
        <f t="shared" si="3"/>
        <v>0</v>
      </c>
      <c r="F47" s="242" t="s">
        <v>838</v>
      </c>
      <c r="G47" s="243">
        <v>0</v>
      </c>
      <c r="H47" s="333">
        <v>0</v>
      </c>
      <c r="I47" s="244">
        <v>0</v>
      </c>
      <c r="J47" s="245">
        <f t="shared" si="4"/>
        <v>0</v>
      </c>
    </row>
    <row r="48" spans="1:55" ht="14.95" customHeight="1" thickBot="1" x14ac:dyDescent="0.3">
      <c r="A48" s="289" t="s">
        <v>771</v>
      </c>
      <c r="B48" s="207">
        <v>3</v>
      </c>
      <c r="C48" s="259">
        <v>1</v>
      </c>
      <c r="D48" s="237">
        <v>0</v>
      </c>
      <c r="E48" s="291">
        <f t="shared" si="3"/>
        <v>4</v>
      </c>
      <c r="F48" s="242" t="s">
        <v>771</v>
      </c>
      <c r="G48" s="243">
        <v>15</v>
      </c>
      <c r="H48" s="333">
        <v>5</v>
      </c>
      <c r="I48" s="244">
        <v>0</v>
      </c>
      <c r="J48" s="245">
        <f t="shared" si="4"/>
        <v>20</v>
      </c>
    </row>
    <row r="49" spans="1:10" ht="14.95" customHeight="1" thickBot="1" x14ac:dyDescent="0.3">
      <c r="A49" s="289" t="s">
        <v>308</v>
      </c>
      <c r="B49" s="207">
        <v>3</v>
      </c>
      <c r="C49" s="259">
        <v>0</v>
      </c>
      <c r="D49" s="237">
        <v>0</v>
      </c>
      <c r="E49" s="291">
        <f t="shared" si="3"/>
        <v>3</v>
      </c>
      <c r="F49" s="242" t="s">
        <v>308</v>
      </c>
      <c r="G49" s="243">
        <v>15</v>
      </c>
      <c r="H49" s="333">
        <v>0</v>
      </c>
      <c r="I49" s="244">
        <v>0</v>
      </c>
      <c r="J49" s="245">
        <f t="shared" si="4"/>
        <v>15</v>
      </c>
    </row>
    <row r="50" spans="1:10" ht="14.95" customHeight="1" thickBot="1" x14ac:dyDescent="0.3">
      <c r="A50" s="289" t="s">
        <v>925</v>
      </c>
      <c r="B50" s="207">
        <v>0</v>
      </c>
      <c r="C50" s="259">
        <v>0</v>
      </c>
      <c r="D50" s="237">
        <v>0</v>
      </c>
      <c r="E50" s="291">
        <f t="shared" si="3"/>
        <v>0</v>
      </c>
      <c r="F50" s="242" t="s">
        <v>925</v>
      </c>
      <c r="G50" s="243">
        <v>0</v>
      </c>
      <c r="H50" s="333">
        <v>0</v>
      </c>
      <c r="I50" s="244">
        <v>0</v>
      </c>
      <c r="J50" s="245">
        <f t="shared" si="4"/>
        <v>0</v>
      </c>
    </row>
    <row r="51" spans="1:10" ht="14.95" customHeight="1" thickBot="1" x14ac:dyDescent="0.3">
      <c r="A51" s="289" t="s">
        <v>316</v>
      </c>
      <c r="B51" s="207">
        <v>1</v>
      </c>
      <c r="C51" s="259">
        <v>0</v>
      </c>
      <c r="D51" s="237">
        <v>1</v>
      </c>
      <c r="E51" s="291">
        <f t="shared" si="3"/>
        <v>2</v>
      </c>
      <c r="F51" s="242" t="s">
        <v>316</v>
      </c>
      <c r="G51" s="243">
        <v>5</v>
      </c>
      <c r="H51" s="333">
        <v>0</v>
      </c>
      <c r="I51" s="244">
        <v>5</v>
      </c>
      <c r="J51" s="245">
        <f t="shared" si="4"/>
        <v>10</v>
      </c>
    </row>
    <row r="52" spans="1:10" ht="14.95" thickBot="1" x14ac:dyDescent="0.3">
      <c r="A52" s="289" t="s">
        <v>519</v>
      </c>
      <c r="B52" s="207">
        <v>0</v>
      </c>
      <c r="C52" s="259">
        <v>2</v>
      </c>
      <c r="D52" s="237">
        <v>0</v>
      </c>
      <c r="E52" s="291">
        <f t="shared" si="3"/>
        <v>2</v>
      </c>
      <c r="F52" s="242" t="s">
        <v>519</v>
      </c>
      <c r="G52" s="243">
        <v>0</v>
      </c>
      <c r="H52" s="333">
        <v>10</v>
      </c>
      <c r="I52" s="244">
        <v>0</v>
      </c>
      <c r="J52" s="245">
        <f t="shared" si="4"/>
        <v>10</v>
      </c>
    </row>
    <row r="53" spans="1:10" ht="14.95" thickBot="1" x14ac:dyDescent="0.3">
      <c r="A53" s="289" t="s">
        <v>773</v>
      </c>
      <c r="B53" s="207">
        <v>0</v>
      </c>
      <c r="C53" s="259">
        <v>0</v>
      </c>
      <c r="D53" s="237">
        <v>0</v>
      </c>
      <c r="E53" s="291">
        <f t="shared" si="3"/>
        <v>0</v>
      </c>
      <c r="F53" s="242" t="s">
        <v>773</v>
      </c>
      <c r="G53" s="243">
        <v>0</v>
      </c>
      <c r="H53" s="333">
        <v>0</v>
      </c>
      <c r="I53" s="244">
        <v>0</v>
      </c>
      <c r="J53" s="245">
        <f t="shared" si="4"/>
        <v>0</v>
      </c>
    </row>
    <row r="54" spans="1:10" ht="14.95" thickBot="1" x14ac:dyDescent="0.3">
      <c r="A54" s="289" t="s">
        <v>869</v>
      </c>
      <c r="B54" s="207">
        <v>0</v>
      </c>
      <c r="C54" s="259">
        <v>0</v>
      </c>
      <c r="D54" s="237">
        <v>0</v>
      </c>
      <c r="E54" s="291">
        <f t="shared" si="3"/>
        <v>0</v>
      </c>
      <c r="F54" s="242" t="s">
        <v>869</v>
      </c>
      <c r="G54" s="243">
        <v>0</v>
      </c>
      <c r="H54" s="333">
        <v>0</v>
      </c>
      <c r="I54" s="244">
        <v>0</v>
      </c>
      <c r="J54" s="245">
        <f t="shared" si="4"/>
        <v>0</v>
      </c>
    </row>
    <row r="55" spans="1:10" ht="14.95" thickBot="1" x14ac:dyDescent="0.3">
      <c r="A55" s="289" t="s">
        <v>3</v>
      </c>
      <c r="B55" s="207">
        <f>SUM(B3:B54)</f>
        <v>45</v>
      </c>
      <c r="C55" s="259">
        <f>SUM(C3:C54)</f>
        <v>13</v>
      </c>
      <c r="D55" s="237">
        <f>SUM(D3:D54)</f>
        <v>21</v>
      </c>
      <c r="E55" s="291">
        <f>SUM(B55:D55)</f>
        <v>79</v>
      </c>
      <c r="F55" s="242" t="s">
        <v>3</v>
      </c>
      <c r="G55" s="243">
        <f>SUM(G3:G54)</f>
        <v>310</v>
      </c>
      <c r="H55" s="333">
        <f>SUM(H3:H54)</f>
        <v>93</v>
      </c>
      <c r="I55" s="244">
        <f>SUM(I3:I54)</f>
        <v>130</v>
      </c>
      <c r="J55" s="245">
        <f t="shared" si="4"/>
        <v>533</v>
      </c>
    </row>
    <row r="56" spans="1:10" x14ac:dyDescent="0.25">
      <c r="A56" s="208"/>
      <c r="B56" s="209"/>
      <c r="C56" s="210"/>
      <c r="D56" s="231"/>
      <c r="E56" s="51"/>
      <c r="F56" s="208"/>
      <c r="G56" s="211"/>
      <c r="H56" s="210"/>
      <c r="I56" s="231"/>
      <c r="J56" s="51"/>
    </row>
    <row r="57" spans="1:10" ht="14.95" thickBot="1" x14ac:dyDescent="0.3">
      <c r="A57" s="47" t="s">
        <v>12</v>
      </c>
      <c r="B57" s="209"/>
      <c r="C57" s="210"/>
      <c r="D57" s="210"/>
      <c r="E57" s="51"/>
      <c r="F57" s="208"/>
      <c r="G57" s="211"/>
      <c r="H57" s="210"/>
      <c r="I57" s="210"/>
      <c r="J57" s="51"/>
    </row>
    <row r="58" spans="1:10" ht="14.95" thickBot="1" x14ac:dyDescent="0.3">
      <c r="A58" s="288" t="s">
        <v>0</v>
      </c>
      <c r="B58" s="206" t="s">
        <v>226</v>
      </c>
      <c r="C58" s="258" t="s">
        <v>30</v>
      </c>
      <c r="D58" s="236" t="s">
        <v>339</v>
      </c>
      <c r="E58" s="290" t="s">
        <v>1</v>
      </c>
      <c r="F58" s="241" t="s">
        <v>2</v>
      </c>
      <c r="G58" s="240" t="s">
        <v>226</v>
      </c>
      <c r="H58" s="332" t="s">
        <v>30</v>
      </c>
      <c r="I58" s="238" t="s">
        <v>339</v>
      </c>
      <c r="J58" s="239" t="s">
        <v>1</v>
      </c>
    </row>
    <row r="59" spans="1:10" ht="14.95" thickBot="1" x14ac:dyDescent="0.3">
      <c r="A59" s="289" t="s">
        <v>1023</v>
      </c>
      <c r="B59" s="207">
        <v>8</v>
      </c>
      <c r="C59" s="259">
        <v>1</v>
      </c>
      <c r="D59" s="237">
        <v>0</v>
      </c>
      <c r="E59" s="291">
        <f>SUM(B59:D59)</f>
        <v>9</v>
      </c>
      <c r="F59" s="242" t="s">
        <v>1025</v>
      </c>
      <c r="G59" s="243">
        <v>71</v>
      </c>
      <c r="H59" s="333">
        <v>14</v>
      </c>
      <c r="I59" s="244">
        <v>0</v>
      </c>
      <c r="J59" s="245">
        <f>SUM(G59:I59)</f>
        <v>85</v>
      </c>
    </row>
    <row r="60" spans="1:10" ht="14.95" thickBot="1" x14ac:dyDescent="0.3">
      <c r="A60" s="289" t="s">
        <v>885</v>
      </c>
      <c r="B60" s="207">
        <v>3</v>
      </c>
      <c r="C60" s="259">
        <v>0</v>
      </c>
      <c r="D60" s="237">
        <v>4</v>
      </c>
      <c r="E60" s="291">
        <f>SUM(B60:D60)</f>
        <v>7</v>
      </c>
      <c r="F60" s="242" t="s">
        <v>1023</v>
      </c>
      <c r="G60" s="243">
        <v>40</v>
      </c>
      <c r="H60" s="333">
        <v>5</v>
      </c>
      <c r="I60" s="244">
        <v>0</v>
      </c>
      <c r="J60" s="245">
        <f>SUM(G60:I60)</f>
        <v>45</v>
      </c>
    </row>
    <row r="61" spans="1:10" ht="14.95" thickBot="1" x14ac:dyDescent="0.3">
      <c r="A61" s="289" t="s">
        <v>956</v>
      </c>
      <c r="B61" s="207">
        <v>5</v>
      </c>
      <c r="C61" s="259">
        <v>1</v>
      </c>
      <c r="D61" s="237">
        <v>1</v>
      </c>
      <c r="E61" s="291">
        <f>SUM(B61:D61)</f>
        <v>7</v>
      </c>
      <c r="F61" s="242" t="s">
        <v>758</v>
      </c>
      <c r="G61" s="243">
        <v>25</v>
      </c>
      <c r="H61" s="333">
        <v>14</v>
      </c>
      <c r="I61" s="244">
        <v>0</v>
      </c>
      <c r="J61" s="245">
        <f>SUM(G61:I61)</f>
        <v>39</v>
      </c>
    </row>
    <row r="62" spans="1:10" ht="14.95" thickBot="1" x14ac:dyDescent="0.3">
      <c r="A62" s="289" t="s">
        <v>540</v>
      </c>
      <c r="B62" s="207">
        <v>5</v>
      </c>
      <c r="C62" s="259">
        <v>0</v>
      </c>
      <c r="D62" s="237">
        <v>0</v>
      </c>
      <c r="E62" s="291">
        <f>SUM(B62:D62)</f>
        <v>5</v>
      </c>
      <c r="F62" s="242" t="s">
        <v>885</v>
      </c>
      <c r="G62" s="243">
        <v>15</v>
      </c>
      <c r="H62" s="333">
        <v>0</v>
      </c>
      <c r="I62" s="244">
        <v>20</v>
      </c>
      <c r="J62" s="245">
        <f>SUM(G62:I62)</f>
        <v>35</v>
      </c>
    </row>
    <row r="63" spans="1:10" ht="14.95" thickBot="1" x14ac:dyDescent="0.3">
      <c r="A63" s="289" t="s">
        <v>480</v>
      </c>
      <c r="B63" s="207">
        <v>2</v>
      </c>
      <c r="C63" s="259">
        <v>2</v>
      </c>
      <c r="D63" s="237">
        <v>0</v>
      </c>
      <c r="E63" s="291">
        <f>SUM(B63:D63)</f>
        <v>4</v>
      </c>
      <c r="F63" s="242" t="s">
        <v>956</v>
      </c>
      <c r="G63" s="243">
        <v>25</v>
      </c>
      <c r="H63" s="333">
        <v>5</v>
      </c>
      <c r="I63" s="244">
        <v>5</v>
      </c>
      <c r="J63" s="245">
        <f>SUM(G63:I63)</f>
        <v>35</v>
      </c>
    </row>
    <row r="64" spans="1:10" ht="14.95" thickBot="1" x14ac:dyDescent="0.3">
      <c r="A64" s="289" t="s">
        <v>174</v>
      </c>
      <c r="B64" s="207">
        <v>1</v>
      </c>
      <c r="C64" s="259">
        <v>0</v>
      </c>
      <c r="D64" s="237">
        <v>3</v>
      </c>
      <c r="E64" s="291">
        <f>SUM(B64:D64)</f>
        <v>4</v>
      </c>
      <c r="F64" s="242" t="s">
        <v>540</v>
      </c>
      <c r="G64" s="243">
        <v>25</v>
      </c>
      <c r="H64" s="333">
        <v>0</v>
      </c>
      <c r="I64" s="244">
        <v>0</v>
      </c>
      <c r="J64" s="245">
        <f>SUM(G64:I64)</f>
        <v>25</v>
      </c>
    </row>
    <row r="65" spans="1:10" ht="14.95" thickBot="1" x14ac:dyDescent="0.3">
      <c r="A65" s="289" t="s">
        <v>304</v>
      </c>
      <c r="B65" s="207">
        <v>0</v>
      </c>
      <c r="C65" s="259">
        <v>2</v>
      </c>
      <c r="D65" s="237">
        <v>2</v>
      </c>
      <c r="E65" s="291">
        <f>SUM(B65:D65)</f>
        <v>4</v>
      </c>
      <c r="F65" s="242" t="s">
        <v>760</v>
      </c>
      <c r="G65" s="243">
        <v>0</v>
      </c>
      <c r="H65" s="333">
        <v>0</v>
      </c>
      <c r="I65" s="244">
        <v>25</v>
      </c>
      <c r="J65" s="245">
        <f>SUM(G65:I65)</f>
        <v>25</v>
      </c>
    </row>
    <row r="66" spans="1:10" ht="14.95" thickBot="1" x14ac:dyDescent="0.3">
      <c r="A66" s="289" t="s">
        <v>771</v>
      </c>
      <c r="B66" s="207">
        <v>3</v>
      </c>
      <c r="C66" s="259">
        <v>1</v>
      </c>
      <c r="D66" s="237">
        <v>0</v>
      </c>
      <c r="E66" s="291">
        <f>SUM(B66:D66)</f>
        <v>4</v>
      </c>
      <c r="F66" s="242" t="s">
        <v>480</v>
      </c>
      <c r="G66" s="243">
        <v>10</v>
      </c>
      <c r="H66" s="333">
        <v>10</v>
      </c>
      <c r="I66" s="244">
        <v>0</v>
      </c>
      <c r="J66" s="245">
        <f>SUM(G66:I66)</f>
        <v>20</v>
      </c>
    </row>
    <row r="67" spans="1:10" ht="14.95" thickBot="1" x14ac:dyDescent="0.3">
      <c r="A67" s="289" t="s">
        <v>758</v>
      </c>
      <c r="B67" s="207">
        <v>3</v>
      </c>
      <c r="C67" s="259">
        <v>0</v>
      </c>
      <c r="D67" s="237">
        <v>0</v>
      </c>
      <c r="E67" s="291">
        <f>SUM(B67:D67)</f>
        <v>3</v>
      </c>
      <c r="F67" s="242" t="s">
        <v>174</v>
      </c>
      <c r="G67" s="243">
        <v>5</v>
      </c>
      <c r="H67" s="333">
        <v>0</v>
      </c>
      <c r="I67" s="244">
        <v>15</v>
      </c>
      <c r="J67" s="245">
        <f>SUM(G67:I67)</f>
        <v>20</v>
      </c>
    </row>
    <row r="68" spans="1:10" ht="14.95" thickBot="1" x14ac:dyDescent="0.3">
      <c r="A68" s="289" t="s">
        <v>318</v>
      </c>
      <c r="B68" s="207">
        <v>3</v>
      </c>
      <c r="C68" s="259">
        <v>0</v>
      </c>
      <c r="D68" s="237">
        <v>0</v>
      </c>
      <c r="E68" s="291">
        <f>SUM(B68:D68)</f>
        <v>3</v>
      </c>
      <c r="F68" s="242" t="s">
        <v>304</v>
      </c>
      <c r="G68" s="243">
        <v>0</v>
      </c>
      <c r="H68" s="333">
        <v>10</v>
      </c>
      <c r="I68" s="244">
        <v>10</v>
      </c>
      <c r="J68" s="245">
        <f>SUM(G68:I68)</f>
        <v>20</v>
      </c>
    </row>
    <row r="69" spans="1:10" ht="14.95" thickBot="1" x14ac:dyDescent="0.3">
      <c r="A69" s="289" t="s">
        <v>308</v>
      </c>
      <c r="B69" s="207">
        <v>3</v>
      </c>
      <c r="C69" s="259">
        <v>0</v>
      </c>
      <c r="D69" s="237">
        <v>0</v>
      </c>
      <c r="E69" s="291">
        <f>SUM(B69:D69)</f>
        <v>3</v>
      </c>
      <c r="F69" s="242" t="s">
        <v>771</v>
      </c>
      <c r="G69" s="243">
        <v>15</v>
      </c>
      <c r="H69" s="333">
        <v>5</v>
      </c>
      <c r="I69" s="244">
        <v>0</v>
      </c>
      <c r="J69" s="245">
        <f>SUM(G69:I69)</f>
        <v>20</v>
      </c>
    </row>
    <row r="70" spans="1:10" ht="14.95" thickBot="1" x14ac:dyDescent="0.3">
      <c r="A70" s="289" t="s">
        <v>895</v>
      </c>
      <c r="B70" s="207">
        <v>1</v>
      </c>
      <c r="C70" s="259">
        <v>0</v>
      </c>
      <c r="D70" s="237">
        <v>1</v>
      </c>
      <c r="E70" s="291">
        <f>SUM(B70:D70)</f>
        <v>2</v>
      </c>
      <c r="F70" s="242" t="s">
        <v>318</v>
      </c>
      <c r="G70" s="243">
        <v>15</v>
      </c>
      <c r="H70" s="333">
        <v>0</v>
      </c>
      <c r="I70" s="244">
        <v>0</v>
      </c>
      <c r="J70" s="245">
        <f>SUM(G70:I70)</f>
        <v>15</v>
      </c>
    </row>
    <row r="71" spans="1:10" ht="14.95" thickBot="1" x14ac:dyDescent="0.3">
      <c r="A71" s="289" t="s">
        <v>554</v>
      </c>
      <c r="B71" s="207">
        <v>0</v>
      </c>
      <c r="C71" s="259">
        <v>2</v>
      </c>
      <c r="D71" s="237">
        <v>0</v>
      </c>
      <c r="E71" s="291">
        <f>SUM(B71:D71)</f>
        <v>2</v>
      </c>
      <c r="F71" s="242" t="s">
        <v>308</v>
      </c>
      <c r="G71" s="243">
        <v>15</v>
      </c>
      <c r="H71" s="333">
        <v>0</v>
      </c>
      <c r="I71" s="244">
        <v>0</v>
      </c>
      <c r="J71" s="245">
        <f>SUM(G71:I71)</f>
        <v>15</v>
      </c>
    </row>
    <row r="72" spans="1:10" ht="14.95" thickBot="1" x14ac:dyDescent="0.3">
      <c r="A72" s="289" t="s">
        <v>321</v>
      </c>
      <c r="B72" s="207">
        <v>2</v>
      </c>
      <c r="C72" s="259">
        <v>0</v>
      </c>
      <c r="D72" s="237">
        <v>0</v>
      </c>
      <c r="E72" s="291">
        <f>SUM(B72:D72)</f>
        <v>2</v>
      </c>
      <c r="F72" s="242" t="s">
        <v>4</v>
      </c>
      <c r="G72" s="243">
        <v>14</v>
      </c>
      <c r="H72" s="333">
        <v>0</v>
      </c>
      <c r="I72" s="244">
        <v>0</v>
      </c>
      <c r="J72" s="245">
        <f>SUM(G72:I72)</f>
        <v>14</v>
      </c>
    </row>
    <row r="73" spans="1:10" ht="14.95" thickBot="1" x14ac:dyDescent="0.3">
      <c r="A73" s="289" t="s">
        <v>775</v>
      </c>
      <c r="B73" s="207">
        <v>0</v>
      </c>
      <c r="C73" s="259">
        <v>0</v>
      </c>
      <c r="D73" s="237">
        <v>2</v>
      </c>
      <c r="E73" s="291">
        <f>SUM(B73:D73)</f>
        <v>2</v>
      </c>
      <c r="F73" s="242" t="s">
        <v>895</v>
      </c>
      <c r="G73" s="243">
        <v>5</v>
      </c>
      <c r="H73" s="333">
        <v>0</v>
      </c>
      <c r="I73" s="244">
        <v>5</v>
      </c>
      <c r="J73" s="245">
        <f>SUM(G73:I73)</f>
        <v>10</v>
      </c>
    </row>
    <row r="74" spans="1:10" ht="14.95" thickBot="1" x14ac:dyDescent="0.3">
      <c r="A74" s="289" t="s">
        <v>4</v>
      </c>
      <c r="B74" s="207">
        <v>2</v>
      </c>
      <c r="C74" s="259">
        <v>0</v>
      </c>
      <c r="D74" s="237">
        <v>0</v>
      </c>
      <c r="E74" s="291">
        <f>SUM(B74:D74)</f>
        <v>2</v>
      </c>
      <c r="F74" s="242" t="s">
        <v>554</v>
      </c>
      <c r="G74" s="243">
        <v>0</v>
      </c>
      <c r="H74" s="333">
        <v>10</v>
      </c>
      <c r="I74" s="244">
        <v>0</v>
      </c>
      <c r="J74" s="245">
        <f>SUM(G74:I74)</f>
        <v>10</v>
      </c>
    </row>
    <row r="75" spans="1:10" ht="14.95" thickBot="1" x14ac:dyDescent="0.3">
      <c r="A75" s="289" t="s">
        <v>756</v>
      </c>
      <c r="B75" s="207">
        <v>0</v>
      </c>
      <c r="C75" s="259">
        <v>1</v>
      </c>
      <c r="D75" s="237">
        <v>1</v>
      </c>
      <c r="E75" s="291">
        <f>SUM(B75:D75)</f>
        <v>2</v>
      </c>
      <c r="F75" s="242" t="s">
        <v>321</v>
      </c>
      <c r="G75" s="243">
        <v>10</v>
      </c>
      <c r="H75" s="333">
        <v>0</v>
      </c>
      <c r="I75" s="244">
        <v>0</v>
      </c>
      <c r="J75" s="245">
        <f>SUM(G75:I75)</f>
        <v>10</v>
      </c>
    </row>
    <row r="76" spans="1:10" ht="14.95" thickBot="1" x14ac:dyDescent="0.3">
      <c r="A76" s="289" t="s">
        <v>316</v>
      </c>
      <c r="B76" s="207">
        <v>1</v>
      </c>
      <c r="C76" s="259">
        <v>0</v>
      </c>
      <c r="D76" s="237">
        <v>1</v>
      </c>
      <c r="E76" s="291">
        <f>SUM(B76:D76)</f>
        <v>2</v>
      </c>
      <c r="F76" s="242" t="s">
        <v>775</v>
      </c>
      <c r="G76" s="243">
        <v>0</v>
      </c>
      <c r="H76" s="333">
        <v>0</v>
      </c>
      <c r="I76" s="244">
        <v>10</v>
      </c>
      <c r="J76" s="245">
        <f>SUM(G76:I76)</f>
        <v>10</v>
      </c>
    </row>
    <row r="77" spans="1:10" ht="14.95" thickBot="1" x14ac:dyDescent="0.3">
      <c r="A77" s="289" t="s">
        <v>519</v>
      </c>
      <c r="B77" s="207">
        <v>0</v>
      </c>
      <c r="C77" s="259">
        <v>2</v>
      </c>
      <c r="D77" s="237">
        <v>0</v>
      </c>
      <c r="E77" s="291">
        <f>SUM(B77:D77)</f>
        <v>2</v>
      </c>
      <c r="F77" s="242" t="s">
        <v>756</v>
      </c>
      <c r="G77" s="243">
        <v>0</v>
      </c>
      <c r="H77" s="333">
        <v>5</v>
      </c>
      <c r="I77" s="244">
        <v>5</v>
      </c>
      <c r="J77" s="245">
        <f>SUM(G77:I77)</f>
        <v>10</v>
      </c>
    </row>
    <row r="78" spans="1:10" ht="14.95" thickBot="1" x14ac:dyDescent="0.3">
      <c r="A78" s="289" t="s">
        <v>1079</v>
      </c>
      <c r="B78" s="207">
        <v>0</v>
      </c>
      <c r="C78" s="259">
        <v>0</v>
      </c>
      <c r="D78" s="237">
        <v>1</v>
      </c>
      <c r="E78" s="291">
        <f>SUM(B78:D78)</f>
        <v>1</v>
      </c>
      <c r="F78" s="242" t="s">
        <v>316</v>
      </c>
      <c r="G78" s="243">
        <v>5</v>
      </c>
      <c r="H78" s="333">
        <v>0</v>
      </c>
      <c r="I78" s="244">
        <v>5</v>
      </c>
      <c r="J78" s="245">
        <f>SUM(G78:I78)</f>
        <v>10</v>
      </c>
    </row>
    <row r="79" spans="1:10" ht="14.95" thickBot="1" x14ac:dyDescent="0.3">
      <c r="A79" s="289" t="s">
        <v>766</v>
      </c>
      <c r="B79" s="207">
        <v>1</v>
      </c>
      <c r="C79" s="259">
        <v>0</v>
      </c>
      <c r="D79" s="237">
        <v>0</v>
      </c>
      <c r="E79" s="291">
        <f>SUM(B79:D79)</f>
        <v>1</v>
      </c>
      <c r="F79" s="242" t="s">
        <v>519</v>
      </c>
      <c r="G79" s="243">
        <v>0</v>
      </c>
      <c r="H79" s="333">
        <v>10</v>
      </c>
      <c r="I79" s="244">
        <v>0</v>
      </c>
      <c r="J79" s="245">
        <f>SUM(G79:I79)</f>
        <v>10</v>
      </c>
    </row>
    <row r="80" spans="1:10" ht="14.95" thickBot="1" x14ac:dyDescent="0.3">
      <c r="A80" s="289" t="s">
        <v>61</v>
      </c>
      <c r="B80" s="207">
        <v>0</v>
      </c>
      <c r="C80" s="259">
        <v>0</v>
      </c>
      <c r="D80" s="237">
        <v>1</v>
      </c>
      <c r="E80" s="291">
        <f>SUM(B80:D80)</f>
        <v>1</v>
      </c>
      <c r="F80" s="242" t="s">
        <v>1079</v>
      </c>
      <c r="G80" s="243">
        <v>0</v>
      </c>
      <c r="H80" s="333">
        <v>0</v>
      </c>
      <c r="I80" s="244">
        <v>5</v>
      </c>
      <c r="J80" s="245">
        <f>SUM(G80:I80)</f>
        <v>5</v>
      </c>
    </row>
    <row r="81" spans="1:10" ht="14.95" thickBot="1" x14ac:dyDescent="0.3">
      <c r="A81" s="289" t="s">
        <v>356</v>
      </c>
      <c r="B81" s="207">
        <v>0</v>
      </c>
      <c r="C81" s="259">
        <v>0</v>
      </c>
      <c r="D81" s="237">
        <v>1</v>
      </c>
      <c r="E81" s="291">
        <f>SUM(B81:D81)</f>
        <v>1</v>
      </c>
      <c r="F81" s="242" t="s">
        <v>766</v>
      </c>
      <c r="G81" s="243">
        <v>5</v>
      </c>
      <c r="H81" s="333">
        <v>0</v>
      </c>
      <c r="I81" s="244">
        <v>0</v>
      </c>
      <c r="J81" s="245">
        <f>SUM(G81:I81)</f>
        <v>5</v>
      </c>
    </row>
    <row r="82" spans="1:10" ht="14.95" thickBot="1" x14ac:dyDescent="0.3">
      <c r="A82" s="289" t="s">
        <v>577</v>
      </c>
      <c r="B82" s="207">
        <v>0</v>
      </c>
      <c r="C82" s="259">
        <v>1</v>
      </c>
      <c r="D82" s="237">
        <v>0</v>
      </c>
      <c r="E82" s="291">
        <f>SUM(B82:D82)</f>
        <v>1</v>
      </c>
      <c r="F82" s="242" t="s">
        <v>61</v>
      </c>
      <c r="G82" s="243">
        <v>0</v>
      </c>
      <c r="H82" s="333">
        <v>0</v>
      </c>
      <c r="I82" s="244">
        <v>5</v>
      </c>
      <c r="J82" s="245">
        <f>SUM(G82:I82)</f>
        <v>5</v>
      </c>
    </row>
    <row r="83" spans="1:10" ht="14.95" thickBot="1" x14ac:dyDescent="0.3">
      <c r="A83" s="289" t="s">
        <v>827</v>
      </c>
      <c r="B83" s="207">
        <v>0</v>
      </c>
      <c r="C83" s="259">
        <v>0</v>
      </c>
      <c r="D83" s="237">
        <v>1</v>
      </c>
      <c r="E83" s="291">
        <f>SUM(B83:D83)</f>
        <v>1</v>
      </c>
      <c r="F83" s="242" t="s">
        <v>356</v>
      </c>
      <c r="G83" s="243">
        <v>0</v>
      </c>
      <c r="H83" s="333">
        <v>0</v>
      </c>
      <c r="I83" s="244">
        <v>5</v>
      </c>
      <c r="J83" s="245">
        <f>SUM(G83:I83)</f>
        <v>5</v>
      </c>
    </row>
    <row r="84" spans="1:10" ht="14.95" thickBot="1" x14ac:dyDescent="0.3">
      <c r="A84" s="289" t="s">
        <v>445</v>
      </c>
      <c r="B84" s="207">
        <v>0</v>
      </c>
      <c r="C84" s="259">
        <v>0</v>
      </c>
      <c r="D84" s="237">
        <v>1</v>
      </c>
      <c r="E84" s="291">
        <f>SUM(B84:D84)</f>
        <v>1</v>
      </c>
      <c r="F84" s="242" t="s">
        <v>577</v>
      </c>
      <c r="G84" s="243">
        <v>0</v>
      </c>
      <c r="H84" s="333">
        <v>5</v>
      </c>
      <c r="I84" s="244">
        <v>0</v>
      </c>
      <c r="J84" s="245">
        <f>SUM(G84:I84)</f>
        <v>5</v>
      </c>
    </row>
    <row r="85" spans="1:10" ht="14.95" thickBot="1" x14ac:dyDescent="0.3">
      <c r="A85" s="289" t="s">
        <v>267</v>
      </c>
      <c r="B85" s="207">
        <v>1</v>
      </c>
      <c r="C85" s="259">
        <v>0</v>
      </c>
      <c r="D85" s="237">
        <v>0</v>
      </c>
      <c r="E85" s="291">
        <f>SUM(B85:D85)</f>
        <v>1</v>
      </c>
      <c r="F85" s="242" t="s">
        <v>827</v>
      </c>
      <c r="G85" s="243">
        <v>0</v>
      </c>
      <c r="H85" s="333">
        <v>0</v>
      </c>
      <c r="I85" s="244">
        <v>5</v>
      </c>
      <c r="J85" s="245">
        <f>SUM(G85:I85)</f>
        <v>5</v>
      </c>
    </row>
    <row r="86" spans="1:10" ht="14.95" thickBot="1" x14ac:dyDescent="0.3">
      <c r="A86" s="289" t="s">
        <v>1073</v>
      </c>
      <c r="B86" s="207">
        <v>0</v>
      </c>
      <c r="C86" s="259">
        <v>0</v>
      </c>
      <c r="D86" s="237">
        <v>1</v>
      </c>
      <c r="E86" s="291">
        <f>SUM(B86:D86)</f>
        <v>1</v>
      </c>
      <c r="F86" s="242" t="s">
        <v>445</v>
      </c>
      <c r="G86" s="243">
        <v>0</v>
      </c>
      <c r="H86" s="333">
        <v>0</v>
      </c>
      <c r="I86" s="244">
        <v>5</v>
      </c>
      <c r="J86" s="245">
        <f>SUM(G86:I86)</f>
        <v>5</v>
      </c>
    </row>
    <row r="87" spans="1:10" ht="14.95" thickBot="1" x14ac:dyDescent="0.3">
      <c r="A87" s="289" t="s">
        <v>784</v>
      </c>
      <c r="B87" s="207">
        <v>1</v>
      </c>
      <c r="C87" s="259">
        <v>0</v>
      </c>
      <c r="D87" s="237">
        <v>0</v>
      </c>
      <c r="E87" s="291">
        <f>SUM(B87:D87)</f>
        <v>1</v>
      </c>
      <c r="F87" s="242" t="s">
        <v>267</v>
      </c>
      <c r="G87" s="243">
        <v>5</v>
      </c>
      <c r="H87" s="333">
        <v>0</v>
      </c>
      <c r="I87" s="244">
        <v>0</v>
      </c>
      <c r="J87" s="245">
        <f>SUM(G87:I87)</f>
        <v>5</v>
      </c>
    </row>
    <row r="88" spans="1:10" ht="14.95" thickBot="1" x14ac:dyDescent="0.3">
      <c r="A88" s="289" t="s">
        <v>928</v>
      </c>
      <c r="B88" s="207">
        <v>0</v>
      </c>
      <c r="C88" s="259">
        <v>0</v>
      </c>
      <c r="D88" s="237">
        <v>0</v>
      </c>
      <c r="E88" s="291">
        <f>SUM(B88:D88)</f>
        <v>0</v>
      </c>
      <c r="F88" s="242" t="s">
        <v>1073</v>
      </c>
      <c r="G88" s="243">
        <v>0</v>
      </c>
      <c r="H88" s="333">
        <v>0</v>
      </c>
      <c r="I88" s="244">
        <v>5</v>
      </c>
      <c r="J88" s="245">
        <f>SUM(G88:I88)</f>
        <v>5</v>
      </c>
    </row>
    <row r="89" spans="1:10" ht="14.95" thickBot="1" x14ac:dyDescent="0.3">
      <c r="A89" s="289" t="s">
        <v>762</v>
      </c>
      <c r="B89" s="207">
        <v>0</v>
      </c>
      <c r="C89" s="259">
        <v>0</v>
      </c>
      <c r="D89" s="237">
        <v>0</v>
      </c>
      <c r="E89" s="291">
        <f>SUM(B89:D89)</f>
        <v>0</v>
      </c>
      <c r="F89" s="242" t="s">
        <v>784</v>
      </c>
      <c r="G89" s="243">
        <v>5</v>
      </c>
      <c r="H89" s="333">
        <v>0</v>
      </c>
      <c r="I89" s="244">
        <v>0</v>
      </c>
      <c r="J89" s="245">
        <f>SUM(G89:I89)</f>
        <v>5</v>
      </c>
    </row>
    <row r="90" spans="1:10" ht="14.95" thickBot="1" x14ac:dyDescent="0.3">
      <c r="A90" s="289" t="s">
        <v>769</v>
      </c>
      <c r="B90" s="207">
        <v>0</v>
      </c>
      <c r="C90" s="259">
        <v>0</v>
      </c>
      <c r="D90" s="237">
        <v>0</v>
      </c>
      <c r="E90" s="291">
        <f>SUM(B90:D90)</f>
        <v>0</v>
      </c>
      <c r="F90" s="242" t="s">
        <v>928</v>
      </c>
      <c r="G90" s="243">
        <v>0</v>
      </c>
      <c r="H90" s="333">
        <v>0</v>
      </c>
      <c r="I90" s="244">
        <v>0</v>
      </c>
      <c r="J90" s="245">
        <f>SUM(G90:I90)</f>
        <v>0</v>
      </c>
    </row>
    <row r="91" spans="1:10" ht="14.95" thickBot="1" x14ac:dyDescent="0.3">
      <c r="A91" s="289" t="s">
        <v>319</v>
      </c>
      <c r="B91" s="207">
        <v>0</v>
      </c>
      <c r="C91" s="259">
        <v>0</v>
      </c>
      <c r="D91" s="237">
        <v>0</v>
      </c>
      <c r="E91" s="291">
        <f>SUM(B91:D91)</f>
        <v>0</v>
      </c>
      <c r="F91" s="242" t="s">
        <v>762</v>
      </c>
      <c r="G91" s="243">
        <v>0</v>
      </c>
      <c r="H91" s="333">
        <v>0</v>
      </c>
      <c r="I91" s="244">
        <v>0</v>
      </c>
      <c r="J91" s="245">
        <f>SUM(G91:I91)</f>
        <v>0</v>
      </c>
    </row>
    <row r="92" spans="1:10" ht="14.95" thickBot="1" x14ac:dyDescent="0.3">
      <c r="A92" s="289" t="s">
        <v>310</v>
      </c>
      <c r="B92" s="207">
        <v>0</v>
      </c>
      <c r="C92" s="259">
        <v>0</v>
      </c>
      <c r="D92" s="237">
        <v>0</v>
      </c>
      <c r="E92" s="291">
        <f>SUM(B92:D92)</f>
        <v>0</v>
      </c>
      <c r="F92" s="242" t="s">
        <v>769</v>
      </c>
      <c r="G92" s="243">
        <v>0</v>
      </c>
      <c r="H92" s="333">
        <v>0</v>
      </c>
      <c r="I92" s="244">
        <v>0</v>
      </c>
      <c r="J92" s="245">
        <f>SUM(G92:I92)</f>
        <v>0</v>
      </c>
    </row>
    <row r="93" spans="1:10" ht="14.95" thickBot="1" x14ac:dyDescent="0.3">
      <c r="A93" s="289" t="s">
        <v>780</v>
      </c>
      <c r="B93" s="207">
        <v>0</v>
      </c>
      <c r="C93" s="259">
        <v>0</v>
      </c>
      <c r="D93" s="237">
        <v>0</v>
      </c>
      <c r="E93" s="291">
        <f>SUM(B93:D93)</f>
        <v>0</v>
      </c>
      <c r="F93" s="242" t="s">
        <v>319</v>
      </c>
      <c r="G93" s="243">
        <v>0</v>
      </c>
      <c r="H93" s="333">
        <v>0</v>
      </c>
      <c r="I93" s="244">
        <v>0</v>
      </c>
      <c r="J93" s="245">
        <f>SUM(G93:I93)</f>
        <v>0</v>
      </c>
    </row>
    <row r="94" spans="1:10" ht="14.95" thickBot="1" x14ac:dyDescent="0.3">
      <c r="A94" s="289" t="s">
        <v>450</v>
      </c>
      <c r="B94" s="207">
        <v>0</v>
      </c>
      <c r="C94" s="259">
        <v>0</v>
      </c>
      <c r="D94" s="237">
        <v>0</v>
      </c>
      <c r="E94" s="291">
        <f>SUM(B94:D94)</f>
        <v>0</v>
      </c>
      <c r="F94" s="242" t="s">
        <v>310</v>
      </c>
      <c r="G94" s="243">
        <v>0</v>
      </c>
      <c r="H94" s="333">
        <v>0</v>
      </c>
      <c r="I94" s="244">
        <v>0</v>
      </c>
      <c r="J94" s="245">
        <f>SUM(G94:I94)</f>
        <v>0</v>
      </c>
    </row>
    <row r="95" spans="1:10" ht="14.95" thickBot="1" x14ac:dyDescent="0.3">
      <c r="A95" s="289" t="s">
        <v>1025</v>
      </c>
      <c r="B95" s="207">
        <v>0</v>
      </c>
      <c r="C95" s="259">
        <v>0</v>
      </c>
      <c r="D95" s="237">
        <v>0</v>
      </c>
      <c r="E95" s="291">
        <f>SUM(B95:D95)</f>
        <v>0</v>
      </c>
      <c r="F95" s="242" t="s">
        <v>780</v>
      </c>
      <c r="G95" s="243">
        <v>0</v>
      </c>
      <c r="H95" s="333">
        <v>0</v>
      </c>
      <c r="I95" s="244">
        <v>0</v>
      </c>
      <c r="J95" s="245">
        <f>SUM(G95:I95)</f>
        <v>0</v>
      </c>
    </row>
    <row r="96" spans="1:10" ht="14.95" thickBot="1" x14ac:dyDescent="0.3">
      <c r="A96" s="289" t="s">
        <v>305</v>
      </c>
      <c r="B96" s="207">
        <v>0</v>
      </c>
      <c r="C96" s="259">
        <v>0</v>
      </c>
      <c r="D96" s="237">
        <v>0</v>
      </c>
      <c r="E96" s="291">
        <f>SUM(B96:D96)</f>
        <v>0</v>
      </c>
      <c r="F96" s="242" t="s">
        <v>450</v>
      </c>
      <c r="G96" s="243">
        <v>0</v>
      </c>
      <c r="H96" s="333">
        <v>0</v>
      </c>
      <c r="I96" s="244">
        <v>0</v>
      </c>
      <c r="J96" s="245">
        <f>SUM(G96:I96)</f>
        <v>0</v>
      </c>
    </row>
    <row r="97" spans="1:10" ht="14.95" thickBot="1" x14ac:dyDescent="0.3">
      <c r="A97" s="289" t="s">
        <v>829</v>
      </c>
      <c r="B97" s="207">
        <v>0</v>
      </c>
      <c r="C97" s="259">
        <v>0</v>
      </c>
      <c r="D97" s="237">
        <v>0</v>
      </c>
      <c r="E97" s="291">
        <f>SUM(B97:D97)</f>
        <v>0</v>
      </c>
      <c r="F97" s="242" t="s">
        <v>305</v>
      </c>
      <c r="G97" s="243">
        <v>0</v>
      </c>
      <c r="H97" s="333">
        <v>0</v>
      </c>
      <c r="I97" s="244">
        <v>0</v>
      </c>
      <c r="J97" s="245">
        <f>SUM(G97:I97)</f>
        <v>0</v>
      </c>
    </row>
    <row r="98" spans="1:10" ht="14.95" thickBot="1" x14ac:dyDescent="0.3">
      <c r="A98" s="289" t="s">
        <v>927</v>
      </c>
      <c r="B98" s="207">
        <v>0</v>
      </c>
      <c r="C98" s="259">
        <v>0</v>
      </c>
      <c r="D98" s="237">
        <v>0</v>
      </c>
      <c r="E98" s="291">
        <f>SUM(B98:D98)</f>
        <v>0</v>
      </c>
      <c r="F98" s="242" t="s">
        <v>829</v>
      </c>
      <c r="G98" s="243">
        <v>0</v>
      </c>
      <c r="H98" s="333">
        <v>0</v>
      </c>
      <c r="I98" s="244">
        <v>0</v>
      </c>
      <c r="J98" s="245">
        <f>SUM(G98:I98)</f>
        <v>0</v>
      </c>
    </row>
    <row r="99" spans="1:10" ht="14.95" thickBot="1" x14ac:dyDescent="0.3">
      <c r="A99" s="289" t="s">
        <v>306</v>
      </c>
      <c r="B99" s="207">
        <v>0</v>
      </c>
      <c r="C99" s="259">
        <v>0</v>
      </c>
      <c r="D99" s="237">
        <v>0</v>
      </c>
      <c r="E99" s="291">
        <f>SUM(B99:D99)</f>
        <v>0</v>
      </c>
      <c r="F99" s="242" t="s">
        <v>927</v>
      </c>
      <c r="G99" s="243">
        <v>0</v>
      </c>
      <c r="H99" s="333">
        <v>0</v>
      </c>
      <c r="I99" s="244">
        <v>0</v>
      </c>
      <c r="J99" s="245">
        <f>SUM(G99:I99)</f>
        <v>0</v>
      </c>
    </row>
    <row r="100" spans="1:10" ht="14.95" thickBot="1" x14ac:dyDescent="0.3">
      <c r="A100" s="289" t="s">
        <v>760</v>
      </c>
      <c r="B100" s="207">
        <v>0</v>
      </c>
      <c r="C100" s="259">
        <v>0</v>
      </c>
      <c r="D100" s="237">
        <v>0</v>
      </c>
      <c r="E100" s="291">
        <f>SUM(B100:D100)</f>
        <v>0</v>
      </c>
      <c r="F100" s="242" t="s">
        <v>306</v>
      </c>
      <c r="G100" s="243">
        <v>0</v>
      </c>
      <c r="H100" s="333">
        <v>0</v>
      </c>
      <c r="I100" s="244">
        <v>0</v>
      </c>
      <c r="J100" s="245">
        <f>SUM(G100:I100)</f>
        <v>0</v>
      </c>
    </row>
    <row r="101" spans="1:10" ht="14.95" thickBot="1" x14ac:dyDescent="0.3">
      <c r="A101" s="289" t="s">
        <v>468</v>
      </c>
      <c r="B101" s="207">
        <v>0</v>
      </c>
      <c r="C101" s="259">
        <v>0</v>
      </c>
      <c r="D101" s="237">
        <v>0</v>
      </c>
      <c r="E101" s="291">
        <f>SUM(B101:D101)</f>
        <v>0</v>
      </c>
      <c r="F101" s="242" t="s">
        <v>468</v>
      </c>
      <c r="G101" s="243">
        <v>0</v>
      </c>
      <c r="H101" s="333">
        <v>0</v>
      </c>
      <c r="I101" s="244">
        <v>0</v>
      </c>
      <c r="J101" s="245">
        <f>SUM(G101:I101)</f>
        <v>0</v>
      </c>
    </row>
    <row r="102" spans="1:10" ht="14.95" thickBot="1" x14ac:dyDescent="0.3">
      <c r="A102" s="289" t="s">
        <v>320</v>
      </c>
      <c r="B102" s="207">
        <v>0</v>
      </c>
      <c r="C102" s="259">
        <v>0</v>
      </c>
      <c r="D102" s="237">
        <v>0</v>
      </c>
      <c r="E102" s="291">
        <f>SUM(B102:D102)</f>
        <v>0</v>
      </c>
      <c r="F102" s="242" t="s">
        <v>320</v>
      </c>
      <c r="G102" s="243">
        <v>0</v>
      </c>
      <c r="H102" s="333">
        <v>0</v>
      </c>
      <c r="I102" s="244">
        <v>0</v>
      </c>
      <c r="J102" s="245">
        <f>SUM(G102:I102)</f>
        <v>0</v>
      </c>
    </row>
    <row r="103" spans="1:10" ht="14.95" thickBot="1" x14ac:dyDescent="0.3">
      <c r="A103" s="289" t="s">
        <v>309</v>
      </c>
      <c r="B103" s="207">
        <v>0</v>
      </c>
      <c r="C103" s="259">
        <v>0</v>
      </c>
      <c r="D103" s="237">
        <v>0</v>
      </c>
      <c r="E103" s="291">
        <f>SUM(B103:D103)</f>
        <v>0</v>
      </c>
      <c r="F103" s="242" t="s">
        <v>309</v>
      </c>
      <c r="G103" s="243">
        <v>0</v>
      </c>
      <c r="H103" s="333">
        <v>0</v>
      </c>
      <c r="I103" s="244">
        <v>0</v>
      </c>
      <c r="J103" s="245">
        <f>SUM(G103:I103)</f>
        <v>0</v>
      </c>
    </row>
    <row r="104" spans="1:10" ht="14.95" thickBot="1" x14ac:dyDescent="0.3">
      <c r="A104" s="289" t="s">
        <v>774</v>
      </c>
      <c r="B104" s="207">
        <v>0</v>
      </c>
      <c r="C104" s="259">
        <v>0</v>
      </c>
      <c r="D104" s="237">
        <v>0</v>
      </c>
      <c r="E104" s="291">
        <f>SUM(B104:D104)</f>
        <v>0</v>
      </c>
      <c r="F104" s="242" t="s">
        <v>774</v>
      </c>
      <c r="G104" s="243">
        <v>0</v>
      </c>
      <c r="H104" s="333">
        <v>0</v>
      </c>
      <c r="I104" s="244">
        <v>0</v>
      </c>
      <c r="J104" s="245">
        <f>SUM(G104:I104)</f>
        <v>0</v>
      </c>
    </row>
    <row r="105" spans="1:10" ht="14.95" thickBot="1" x14ac:dyDescent="0.3">
      <c r="A105" s="289" t="s">
        <v>317</v>
      </c>
      <c r="B105" s="207">
        <v>0</v>
      </c>
      <c r="C105" s="259">
        <v>0</v>
      </c>
      <c r="D105" s="237">
        <v>0</v>
      </c>
      <c r="E105" s="291">
        <f>SUM(B105:D105)</f>
        <v>0</v>
      </c>
      <c r="F105" s="242" t="s">
        <v>317</v>
      </c>
      <c r="G105" s="243">
        <v>0</v>
      </c>
      <c r="H105" s="333">
        <v>0</v>
      </c>
      <c r="I105" s="244">
        <v>0</v>
      </c>
      <c r="J105" s="245">
        <f>SUM(G105:I105)</f>
        <v>0</v>
      </c>
    </row>
    <row r="106" spans="1:10" ht="14.95" thickBot="1" x14ac:dyDescent="0.3">
      <c r="A106" s="289" t="s">
        <v>17</v>
      </c>
      <c r="B106" s="207">
        <v>0</v>
      </c>
      <c r="C106" s="259">
        <v>0</v>
      </c>
      <c r="D106" s="237">
        <v>0</v>
      </c>
      <c r="E106" s="291">
        <f>SUM(B106:D106)</f>
        <v>0</v>
      </c>
      <c r="F106" s="242" t="s">
        <v>17</v>
      </c>
      <c r="G106" s="243">
        <v>0</v>
      </c>
      <c r="H106" s="333">
        <v>0</v>
      </c>
      <c r="I106" s="244">
        <v>0</v>
      </c>
      <c r="J106" s="245">
        <f>SUM(G106:I106)</f>
        <v>0</v>
      </c>
    </row>
    <row r="107" spans="1:10" ht="14.95" thickBot="1" x14ac:dyDescent="0.3">
      <c r="A107" s="289" t="s">
        <v>838</v>
      </c>
      <c r="B107" s="207">
        <v>0</v>
      </c>
      <c r="C107" s="259">
        <v>0</v>
      </c>
      <c r="D107" s="237">
        <v>0</v>
      </c>
      <c r="E107" s="291">
        <f>SUM(B107:D107)</f>
        <v>0</v>
      </c>
      <c r="F107" s="242" t="s">
        <v>838</v>
      </c>
      <c r="G107" s="243">
        <v>0</v>
      </c>
      <c r="H107" s="333">
        <v>0</v>
      </c>
      <c r="I107" s="244">
        <v>0</v>
      </c>
      <c r="J107" s="245">
        <f>SUM(G107:I107)</f>
        <v>0</v>
      </c>
    </row>
    <row r="108" spans="1:10" ht="14.95" thickBot="1" x14ac:dyDescent="0.3">
      <c r="A108" s="289" t="s">
        <v>925</v>
      </c>
      <c r="B108" s="207">
        <v>0</v>
      </c>
      <c r="C108" s="259">
        <v>0</v>
      </c>
      <c r="D108" s="237">
        <v>0</v>
      </c>
      <c r="E108" s="291">
        <f>SUM(B108:D108)</f>
        <v>0</v>
      </c>
      <c r="F108" s="242" t="s">
        <v>925</v>
      </c>
      <c r="G108" s="243">
        <v>0</v>
      </c>
      <c r="H108" s="333">
        <v>0</v>
      </c>
      <c r="I108" s="244">
        <v>0</v>
      </c>
      <c r="J108" s="245">
        <f>SUM(G108:I108)</f>
        <v>0</v>
      </c>
    </row>
    <row r="109" spans="1:10" ht="14.95" thickBot="1" x14ac:dyDescent="0.3">
      <c r="A109" s="289" t="s">
        <v>773</v>
      </c>
      <c r="B109" s="207">
        <v>0</v>
      </c>
      <c r="C109" s="259">
        <v>0</v>
      </c>
      <c r="D109" s="237">
        <v>0</v>
      </c>
      <c r="E109" s="291">
        <f>SUM(B109:D109)</f>
        <v>0</v>
      </c>
      <c r="F109" s="242" t="s">
        <v>773</v>
      </c>
      <c r="G109" s="243">
        <v>0</v>
      </c>
      <c r="H109" s="333">
        <v>0</v>
      </c>
      <c r="I109" s="244">
        <v>0</v>
      </c>
      <c r="J109" s="245">
        <f>SUM(G109:I109)</f>
        <v>0</v>
      </c>
    </row>
    <row r="110" spans="1:10" ht="14.95" thickBot="1" x14ac:dyDescent="0.3">
      <c r="A110" s="289" t="s">
        <v>869</v>
      </c>
      <c r="B110" s="207">
        <v>0</v>
      </c>
      <c r="C110" s="259">
        <v>0</v>
      </c>
      <c r="D110" s="237">
        <v>0</v>
      </c>
      <c r="E110" s="291">
        <f>SUM(B110:D110)</f>
        <v>0</v>
      </c>
      <c r="F110" s="242" t="s">
        <v>869</v>
      </c>
      <c r="G110" s="243">
        <v>0</v>
      </c>
      <c r="H110" s="333">
        <v>0</v>
      </c>
      <c r="I110" s="244">
        <v>0</v>
      </c>
      <c r="J110" s="245">
        <f>SUM(G110:I110)</f>
        <v>0</v>
      </c>
    </row>
    <row r="111" spans="1:10" ht="14.95" thickBot="1" x14ac:dyDescent="0.3">
      <c r="A111" s="289" t="s">
        <v>3</v>
      </c>
      <c r="B111" s="207">
        <f>SUM(B59:B110)</f>
        <v>45</v>
      </c>
      <c r="C111" s="259">
        <f>SUM(C59:C110)</f>
        <v>13</v>
      </c>
      <c r="D111" s="237">
        <f>SUM(D59:D110)</f>
        <v>21</v>
      </c>
      <c r="E111" s="291">
        <f>SUM(B111:D111)</f>
        <v>79</v>
      </c>
      <c r="F111" s="242" t="s">
        <v>3</v>
      </c>
      <c r="G111" s="243">
        <f>SUM(G59:G110)</f>
        <v>310</v>
      </c>
      <c r="H111" s="333">
        <f>SUM(H59:H110)</f>
        <v>93</v>
      </c>
      <c r="I111" s="244">
        <f>SUM(I59:I110)</f>
        <v>130</v>
      </c>
      <c r="J111" s="245">
        <f t="shared" ref="J63:J111" si="11">SUM(G111:I111)</f>
        <v>533</v>
      </c>
    </row>
    <row r="112" spans="1:10" ht="16.3" x14ac:dyDescent="0.25">
      <c r="A112" s="455" t="s">
        <v>34</v>
      </c>
      <c r="B112" s="455"/>
      <c r="C112" s="455"/>
      <c r="D112" s="455"/>
      <c r="E112" s="455"/>
      <c r="F112" s="455"/>
      <c r="G112" s="455"/>
      <c r="H112" s="455"/>
      <c r="I112" s="455"/>
      <c r="J112" s="455"/>
    </row>
  </sheetData>
  <sortState xmlns:xlrd2="http://schemas.microsoft.com/office/spreadsheetml/2017/richdata2" ref="F59:J110">
    <sortCondition descending="1" ref="J59:J110"/>
  </sortState>
  <mergeCells count="62">
    <mergeCell ref="AZ19:BB20"/>
    <mergeCell ref="AN28:AP29"/>
    <mergeCell ref="AQ28:AS29"/>
    <mergeCell ref="AT28:AV29"/>
    <mergeCell ref="U28:W29"/>
    <mergeCell ref="AW19:AY20"/>
    <mergeCell ref="AQ19:AS20"/>
    <mergeCell ref="AT19:AV20"/>
    <mergeCell ref="A112:J112"/>
    <mergeCell ref="K38:Y38"/>
    <mergeCell ref="AB10:AD11"/>
    <mergeCell ref="AE19:AG20"/>
    <mergeCell ref="AE28:AG29"/>
    <mergeCell ref="O28:Q29"/>
    <mergeCell ref="K36:AS36"/>
    <mergeCell ref="AK10:AM11"/>
    <mergeCell ref="U10:W11"/>
    <mergeCell ref="AB19:AD20"/>
    <mergeCell ref="AH28:AJ29"/>
    <mergeCell ref="AK19:AM20"/>
    <mergeCell ref="R10:T11"/>
    <mergeCell ref="AK28:AM29"/>
    <mergeCell ref="AB28:AD29"/>
    <mergeCell ref="AN19:AP20"/>
    <mergeCell ref="A1:J1"/>
    <mergeCell ref="K1:K2"/>
    <mergeCell ref="L1:N2"/>
    <mergeCell ref="K28:K29"/>
    <mergeCell ref="L28:N29"/>
    <mergeCell ref="K19:K20"/>
    <mergeCell ref="L19:N20"/>
    <mergeCell ref="K27:V27"/>
    <mergeCell ref="R19:T20"/>
    <mergeCell ref="U19:W20"/>
    <mergeCell ref="R28:T29"/>
    <mergeCell ref="O1:Q2"/>
    <mergeCell ref="K10:K11"/>
    <mergeCell ref="L10:N11"/>
    <mergeCell ref="O10:Q11"/>
    <mergeCell ref="R1:S2"/>
    <mergeCell ref="AN1:AP2"/>
    <mergeCell ref="AH10:AJ11"/>
    <mergeCell ref="BF1:BH2"/>
    <mergeCell ref="AW10:AY11"/>
    <mergeCell ref="AW1:AY2"/>
    <mergeCell ref="AZ1:BB2"/>
    <mergeCell ref="AN10:AP11"/>
    <mergeCell ref="AT1:AV2"/>
    <mergeCell ref="AQ10:AS11"/>
    <mergeCell ref="AT10:AV11"/>
    <mergeCell ref="BC1:BE2"/>
    <mergeCell ref="AQ1:AS2"/>
    <mergeCell ref="K37:W37"/>
    <mergeCell ref="AH19:AJ20"/>
    <mergeCell ref="O19:Q20"/>
    <mergeCell ref="T1:V2"/>
    <mergeCell ref="AK1:AM2"/>
    <mergeCell ref="AH1:AJ2"/>
    <mergeCell ref="AE10:AG11"/>
    <mergeCell ref="AE1:AG2"/>
    <mergeCell ref="W1:Y2"/>
    <mergeCell ref="AB1:AD2"/>
  </mergeCells>
  <pageMargins left="0.7" right="0.7" top="0.75" bottom="0.75" header="0.3" footer="0.3"/>
  <pageSetup paperSize="9" orientation="portrait" horizontalDpi="0" verticalDpi="0" r:id="rId1"/>
  <ignoredErrors>
    <ignoredError sqref="J34 E34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40"/>
  <sheetViews>
    <sheetView workbookViewId="0">
      <selection activeCell="J34" sqref="J34"/>
    </sheetView>
  </sheetViews>
  <sheetFormatPr defaultColWidth="8.875" defaultRowHeight="14.3" x14ac:dyDescent="0.25"/>
  <cols>
    <col min="1" max="1" width="21.375" bestFit="1" customWidth="1"/>
    <col min="2" max="2" width="5.125" bestFit="1" customWidth="1"/>
    <col min="3" max="3" width="5.75" customWidth="1"/>
    <col min="4" max="4" width="21.375" bestFit="1" customWidth="1"/>
    <col min="5" max="5" width="5.125" bestFit="1" customWidth="1"/>
    <col min="6" max="6" width="5.75" customWidth="1"/>
    <col min="7" max="7" width="18.5" bestFit="1" customWidth="1"/>
    <col min="8" max="8" width="5.1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2" x14ac:dyDescent="0.25">
      <c r="A1" s="435" t="s">
        <v>981</v>
      </c>
    </row>
    <row r="2" spans="1:22" ht="14.95" customHeight="1" thickBot="1" x14ac:dyDescent="0.3">
      <c r="A2" s="364" t="s">
        <v>1097</v>
      </c>
    </row>
    <row r="3" spans="1:22" ht="14.95" customHeight="1" thickBot="1" x14ac:dyDescent="0.3">
      <c r="A3" s="31" t="s">
        <v>26</v>
      </c>
      <c r="B3" s="116"/>
      <c r="C3" s="11"/>
      <c r="D3" s="27" t="s">
        <v>8</v>
      </c>
      <c r="E3" s="27"/>
      <c r="F3" s="24"/>
      <c r="G3" s="571" t="s">
        <v>35</v>
      </c>
      <c r="H3" s="569"/>
      <c r="I3" s="28" t="s">
        <v>46</v>
      </c>
      <c r="J3" s="28" t="s">
        <v>9</v>
      </c>
      <c r="K3" s="29" t="s">
        <v>10</v>
      </c>
      <c r="L3" s="568" t="s">
        <v>171</v>
      </c>
      <c r="M3" s="568"/>
      <c r="N3" s="569"/>
      <c r="O3" s="567" t="s">
        <v>902</v>
      </c>
      <c r="P3" s="568"/>
      <c r="Q3" s="569"/>
    </row>
    <row r="4" spans="1:22" ht="14.95" customHeight="1" thickBot="1" x14ac:dyDescent="0.3">
      <c r="A4" s="61" t="s">
        <v>289</v>
      </c>
      <c r="B4" s="61" t="s">
        <v>83</v>
      </c>
      <c r="C4" s="9">
        <f>Freemannortries</f>
        <v>9</v>
      </c>
      <c r="D4" s="2" t="s">
        <v>135</v>
      </c>
      <c r="E4" s="2" t="s">
        <v>90</v>
      </c>
      <c r="F4" s="19">
        <f>Sladeexepts</f>
        <v>112</v>
      </c>
      <c r="G4" s="30" t="s">
        <v>987</v>
      </c>
      <c r="H4" s="30" t="s">
        <v>544</v>
      </c>
      <c r="I4" s="192">
        <f>Searleleigls</f>
        <v>26</v>
      </c>
      <c r="J4" s="194">
        <f>searleleiatt</f>
        <v>29</v>
      </c>
      <c r="K4" s="358">
        <f t="shared" ref="K4:K29" si="0">SUM(I4/J4)*100</f>
        <v>89.65517241379311</v>
      </c>
      <c r="L4" s="334"/>
      <c r="M4" s="334"/>
      <c r="N4" s="335"/>
      <c r="O4" s="242"/>
      <c r="P4" s="242"/>
      <c r="Q4" s="336"/>
      <c r="T4" s="4"/>
      <c r="U4" s="4"/>
      <c r="V4" s="4"/>
    </row>
    <row r="5" spans="1:22" ht="14.95" customHeight="1" thickBot="1" x14ac:dyDescent="0.3">
      <c r="A5" s="61" t="s">
        <v>1024</v>
      </c>
      <c r="B5" s="61" t="s">
        <v>322</v>
      </c>
      <c r="C5" s="9">
        <f>Caluorisartries</f>
        <v>8</v>
      </c>
      <c r="D5" s="2" t="s">
        <v>1026</v>
      </c>
      <c r="E5" s="2" t="s">
        <v>322</v>
      </c>
      <c r="F5" s="19">
        <f>Farrellsarptssecondspell</f>
        <v>71</v>
      </c>
      <c r="G5" s="32" t="s">
        <v>144</v>
      </c>
      <c r="H5" s="30" t="s">
        <v>89</v>
      </c>
      <c r="I5" s="194">
        <f>Smithhargls</f>
        <v>20</v>
      </c>
      <c r="J5" s="194">
        <f>smithharatt</f>
        <v>23</v>
      </c>
      <c r="K5" s="358">
        <f t="shared" si="0"/>
        <v>86.956521739130437</v>
      </c>
      <c r="L5" s="334"/>
      <c r="M5" s="334"/>
      <c r="N5" s="335"/>
      <c r="O5" s="2"/>
      <c r="P5" s="2"/>
      <c r="Q5" s="19"/>
      <c r="S5" s="4"/>
    </row>
    <row r="6" spans="1:22" ht="14.95" customHeight="1" thickBot="1" x14ac:dyDescent="0.3">
      <c r="A6" s="61" t="s">
        <v>472</v>
      </c>
      <c r="B6" s="61" t="s">
        <v>90</v>
      </c>
      <c r="C6" s="48">
        <f>Feyi_Wabosoexetries</f>
        <v>8</v>
      </c>
      <c r="D6" s="2" t="s">
        <v>485</v>
      </c>
      <c r="E6" s="2" t="s">
        <v>81</v>
      </c>
      <c r="F6" s="19">
        <f>Fordgeorgesalpts</f>
        <v>75</v>
      </c>
      <c r="G6" s="30" t="s">
        <v>737</v>
      </c>
      <c r="H6" s="30" t="s">
        <v>92</v>
      </c>
      <c r="I6" s="192">
        <f>worsleybrigls</f>
        <v>19</v>
      </c>
      <c r="J6" s="194">
        <f>worsleybriatt</f>
        <v>22</v>
      </c>
      <c r="K6" s="358">
        <f t="shared" si="0"/>
        <v>86.36363636363636</v>
      </c>
      <c r="L6" s="10"/>
      <c r="M6" s="10"/>
      <c r="N6" s="9"/>
      <c r="O6" s="2"/>
      <c r="P6" s="2"/>
      <c r="Q6" s="19"/>
      <c r="S6" s="4"/>
    </row>
    <row r="7" spans="1:22" ht="14.95" customHeight="1" thickBot="1" x14ac:dyDescent="0.3">
      <c r="A7" s="61" t="s">
        <v>548</v>
      </c>
      <c r="B7" s="61" t="s">
        <v>92</v>
      </c>
      <c r="C7" s="9">
        <f>Oghrebritries</f>
        <v>7</v>
      </c>
      <c r="D7" s="2" t="s">
        <v>987</v>
      </c>
      <c r="E7" s="2" t="s">
        <v>544</v>
      </c>
      <c r="F7" s="19">
        <f>RogersonLEIpts</f>
        <v>66</v>
      </c>
      <c r="G7" s="30" t="s">
        <v>965</v>
      </c>
      <c r="H7" s="30" t="s">
        <v>83</v>
      </c>
      <c r="I7" s="192">
        <f>belleaunorgls</f>
        <v>16</v>
      </c>
      <c r="J7" s="194">
        <f>belleaunoratt</f>
        <v>19</v>
      </c>
      <c r="K7" s="358">
        <f t="shared" si="0"/>
        <v>84.210526315789465</v>
      </c>
      <c r="L7" s="61"/>
      <c r="M7" s="61"/>
      <c r="N7" s="48"/>
      <c r="O7" s="2"/>
      <c r="P7" s="2"/>
      <c r="Q7" s="19"/>
      <c r="S7" s="4"/>
    </row>
    <row r="8" spans="1:22" ht="14.95" customHeight="1" thickBot="1" x14ac:dyDescent="0.3">
      <c r="A8" s="10" t="s">
        <v>618</v>
      </c>
      <c r="B8" s="10" t="s">
        <v>92</v>
      </c>
      <c r="C8" s="9">
        <f>Ravouvoufijtries</f>
        <v>7</v>
      </c>
      <c r="D8" s="2" t="s">
        <v>296</v>
      </c>
      <c r="E8" s="2" t="s">
        <v>83</v>
      </c>
      <c r="F8" s="19">
        <f>Tonksnorpts</f>
        <v>66</v>
      </c>
      <c r="G8" s="30" t="s">
        <v>524</v>
      </c>
      <c r="H8" s="30" t="s">
        <v>82</v>
      </c>
      <c r="I8" s="192">
        <f>Searlebthgls</f>
        <v>25</v>
      </c>
      <c r="J8" s="194">
        <f>searlebthatt</f>
        <v>30</v>
      </c>
      <c r="K8" s="358">
        <f t="shared" si="0"/>
        <v>83.333333333333343</v>
      </c>
      <c r="L8" s="61"/>
      <c r="M8" s="61"/>
      <c r="N8" s="9"/>
      <c r="O8" s="2"/>
      <c r="P8" s="2"/>
      <c r="Q8" s="19"/>
      <c r="S8" s="4"/>
    </row>
    <row r="9" spans="1:22" ht="14.95" customHeight="1" thickBot="1" x14ac:dyDescent="0.3">
      <c r="A9" s="61" t="s">
        <v>998</v>
      </c>
      <c r="B9" s="61" t="s">
        <v>82</v>
      </c>
      <c r="C9" s="9">
        <f>Baileybthtries</f>
        <v>6</v>
      </c>
      <c r="D9" s="2" t="s">
        <v>144</v>
      </c>
      <c r="E9" s="2" t="s">
        <v>89</v>
      </c>
      <c r="F9" s="19">
        <f>Smithharpts</f>
        <v>59</v>
      </c>
      <c r="G9" s="30" t="s">
        <v>100</v>
      </c>
      <c r="H9" s="30" t="s">
        <v>82</v>
      </c>
      <c r="I9" s="192">
        <f>spcncerbthgls</f>
        <v>9</v>
      </c>
      <c r="J9" s="194">
        <f>spencerbthatt</f>
        <v>11</v>
      </c>
      <c r="K9" s="358">
        <f t="shared" si="0"/>
        <v>81.818181818181827</v>
      </c>
      <c r="L9" s="61"/>
      <c r="M9" s="61"/>
      <c r="N9" s="9"/>
      <c r="O9" s="2"/>
      <c r="P9" s="2"/>
      <c r="Q9" s="19"/>
      <c r="S9" s="4"/>
    </row>
    <row r="10" spans="1:22" ht="14.95" customHeight="1" thickBot="1" x14ac:dyDescent="0.3">
      <c r="A10" s="61" t="s">
        <v>843</v>
      </c>
      <c r="B10" s="61" t="s">
        <v>83</v>
      </c>
      <c r="C10" s="6">
        <f>PearsonNOR_tries</f>
        <v>6</v>
      </c>
      <c r="D10" s="2" t="s">
        <v>524</v>
      </c>
      <c r="E10" s="2" t="s">
        <v>82</v>
      </c>
      <c r="F10" s="19">
        <f>Russellbthpts</f>
        <v>53</v>
      </c>
      <c r="G10" s="216" t="s">
        <v>135</v>
      </c>
      <c r="H10" s="30" t="s">
        <v>90</v>
      </c>
      <c r="I10" s="192">
        <f>sladegoals</f>
        <v>37</v>
      </c>
      <c r="J10" s="194">
        <f>sladeatt</f>
        <v>46</v>
      </c>
      <c r="K10" s="358">
        <f t="shared" si="0"/>
        <v>80.434782608695656</v>
      </c>
      <c r="L10" s="61"/>
      <c r="M10" s="61"/>
      <c r="N10" s="9"/>
      <c r="O10" s="2"/>
      <c r="P10" s="2"/>
      <c r="Q10" s="19"/>
      <c r="S10" s="4"/>
    </row>
    <row r="11" spans="1:22" ht="14.95" customHeight="1" thickBot="1" x14ac:dyDescent="0.3">
      <c r="A11" s="10" t="s">
        <v>261</v>
      </c>
      <c r="B11" s="10" t="s">
        <v>544</v>
      </c>
      <c r="C11" s="9">
        <f>Radwanleitries</f>
        <v>6</v>
      </c>
      <c r="D11" s="17" t="s">
        <v>908</v>
      </c>
      <c r="E11" s="2" t="s">
        <v>80</v>
      </c>
      <c r="F11" s="19">
        <f>Byrneglopts</f>
        <v>48</v>
      </c>
      <c r="G11" s="450" t="s">
        <v>260</v>
      </c>
      <c r="H11" s="30" t="s">
        <v>917</v>
      </c>
      <c r="I11" s="194">
        <f>Hodgsoncharliegoals</f>
        <v>20</v>
      </c>
      <c r="J11" s="194">
        <f>hodgsoncharlieatt</f>
        <v>25</v>
      </c>
      <c r="K11" s="358">
        <f t="shared" si="0"/>
        <v>80</v>
      </c>
      <c r="L11" s="61"/>
      <c r="M11" s="61"/>
      <c r="N11" s="9"/>
      <c r="O11" s="2"/>
      <c r="P11" s="2"/>
      <c r="Q11" s="19"/>
      <c r="S11" s="4"/>
    </row>
    <row r="12" spans="1:22" ht="14.95" customHeight="1" thickBot="1" x14ac:dyDescent="0.3">
      <c r="A12" s="61" t="s">
        <v>135</v>
      </c>
      <c r="B12" s="61" t="s">
        <v>90</v>
      </c>
      <c r="C12" s="9">
        <f>Sladeexetries</f>
        <v>6</v>
      </c>
      <c r="D12" s="2" t="s">
        <v>260</v>
      </c>
      <c r="E12" s="2" t="s">
        <v>917</v>
      </c>
      <c r="F12" s="19">
        <f>Connonnewptscorrectthisone</f>
        <v>48</v>
      </c>
      <c r="G12" s="216" t="s">
        <v>485</v>
      </c>
      <c r="H12" s="30" t="s">
        <v>81</v>
      </c>
      <c r="I12" s="192">
        <f>fordsalgls</f>
        <v>28</v>
      </c>
      <c r="J12" s="194">
        <f>fordsalatt</f>
        <v>36</v>
      </c>
      <c r="K12" s="358">
        <f t="shared" si="0"/>
        <v>77.777777777777786</v>
      </c>
      <c r="L12" s="61"/>
      <c r="M12" s="61"/>
      <c r="N12" s="9"/>
      <c r="O12" s="17"/>
      <c r="P12" s="17"/>
      <c r="Q12" s="19"/>
      <c r="S12" s="4"/>
    </row>
    <row r="13" spans="1:22" ht="14.95" customHeight="1" thickBot="1" x14ac:dyDescent="0.3">
      <c r="A13" s="61" t="s">
        <v>1028</v>
      </c>
      <c r="B13" s="61" t="s">
        <v>83</v>
      </c>
      <c r="C13" s="9">
        <f>Todaronortries</f>
        <v>6</v>
      </c>
      <c r="D13" s="2" t="s">
        <v>737</v>
      </c>
      <c r="E13" s="2" t="s">
        <v>92</v>
      </c>
      <c r="F13" s="19">
        <f>Worsleybripts</f>
        <v>47</v>
      </c>
      <c r="G13" s="30" t="s">
        <v>908</v>
      </c>
      <c r="H13" s="30" t="s">
        <v>80</v>
      </c>
      <c r="I13" s="192">
        <f>chapmanglogls</f>
        <v>23</v>
      </c>
      <c r="J13" s="194">
        <f>chapmangloatt</f>
        <v>31</v>
      </c>
      <c r="K13" s="358">
        <f t="shared" si="0"/>
        <v>74.193548387096769</v>
      </c>
      <c r="L13" s="61"/>
      <c r="M13" s="61"/>
      <c r="N13" s="9"/>
      <c r="O13" s="2"/>
      <c r="P13" s="2"/>
      <c r="Q13" s="19"/>
      <c r="S13" s="4"/>
    </row>
    <row r="14" spans="1:22" ht="14.95" customHeight="1" thickBot="1" x14ac:dyDescent="0.3">
      <c r="A14" s="61" t="s">
        <v>168</v>
      </c>
      <c r="B14" s="61" t="s">
        <v>83</v>
      </c>
      <c r="C14" s="9">
        <f>Colesnortries</f>
        <v>5</v>
      </c>
      <c r="D14" s="2" t="s">
        <v>965</v>
      </c>
      <c r="E14" s="2" t="s">
        <v>83</v>
      </c>
      <c r="F14" s="19">
        <f>Braleynorptscorrect</f>
        <v>46</v>
      </c>
      <c r="G14" s="30" t="s">
        <v>296</v>
      </c>
      <c r="H14" s="30" t="s">
        <v>83</v>
      </c>
      <c r="I14" s="192">
        <f>Smithnorgls</f>
        <v>27</v>
      </c>
      <c r="J14" s="194">
        <f>smithnoratt</f>
        <v>39</v>
      </c>
      <c r="K14" s="358">
        <f t="shared" si="0"/>
        <v>69.230769230769226</v>
      </c>
      <c r="L14" s="61"/>
      <c r="M14" s="61"/>
      <c r="N14" s="9"/>
      <c r="O14" s="570" t="s">
        <v>145</v>
      </c>
      <c r="P14" s="456"/>
      <c r="Q14" s="456"/>
      <c r="S14" s="4"/>
    </row>
    <row r="15" spans="1:22" ht="14.95" customHeight="1" thickBot="1" x14ac:dyDescent="0.3">
      <c r="A15" s="61" t="s">
        <v>528</v>
      </c>
      <c r="B15" s="61" t="s">
        <v>90</v>
      </c>
      <c r="C15" s="48">
        <f>FisilauEXEtries</f>
        <v>5</v>
      </c>
      <c r="D15" s="2" t="s">
        <v>289</v>
      </c>
      <c r="E15" s="2" t="s">
        <v>83</v>
      </c>
      <c r="F15" s="19">
        <f>Freemannorpts</f>
        <v>45</v>
      </c>
      <c r="G15" s="30" t="s">
        <v>1026</v>
      </c>
      <c r="H15" s="30" t="s">
        <v>322</v>
      </c>
      <c r="I15" s="192">
        <f>Farrellsarglssecondspell</f>
        <v>31</v>
      </c>
      <c r="J15" s="194">
        <f>Farrellsarattsecondspell</f>
        <v>45</v>
      </c>
      <c r="K15" s="358">
        <f t="shared" si="0"/>
        <v>68.888888888888886</v>
      </c>
      <c r="L15" s="61"/>
      <c r="M15" s="61"/>
      <c r="N15" s="9"/>
      <c r="O15" s="251" t="s">
        <v>21</v>
      </c>
      <c r="S15" s="4"/>
    </row>
    <row r="16" spans="1:22" ht="14.95" customHeight="1" thickBot="1" x14ac:dyDescent="0.3">
      <c r="A16" s="61" t="s">
        <v>541</v>
      </c>
      <c r="B16" s="61" t="s">
        <v>322</v>
      </c>
      <c r="C16" s="9">
        <f>Gonzalezsartries</f>
        <v>5</v>
      </c>
      <c r="D16" s="2" t="s">
        <v>1024</v>
      </c>
      <c r="E16" s="2" t="s">
        <v>322</v>
      </c>
      <c r="F16" s="19">
        <f>Caluorisarpts</f>
        <v>40</v>
      </c>
      <c r="G16" s="32" t="s">
        <v>1031</v>
      </c>
      <c r="H16" s="30" t="s">
        <v>92</v>
      </c>
      <c r="I16" s="194">
        <f>Jordanbrigls</f>
        <v>14</v>
      </c>
      <c r="J16" s="194">
        <f>jordanbriatt</f>
        <v>22</v>
      </c>
      <c r="K16" s="358">
        <f t="shared" si="0"/>
        <v>63.636363636363633</v>
      </c>
      <c r="L16" s="61"/>
      <c r="M16" s="61"/>
      <c r="N16" s="9"/>
      <c r="S16" s="4"/>
    </row>
    <row r="17" spans="1:21" ht="14.95" customHeight="1" thickBot="1" x14ac:dyDescent="0.3">
      <c r="A17" s="61" t="s">
        <v>542</v>
      </c>
      <c r="B17" s="61" t="s">
        <v>322</v>
      </c>
      <c r="C17" s="9">
        <f>Malinssartries2ndspell</f>
        <v>5</v>
      </c>
      <c r="D17" s="2" t="s">
        <v>472</v>
      </c>
      <c r="E17" s="2" t="s">
        <v>90</v>
      </c>
      <c r="F17" s="19">
        <f>Feyi_Wabosoexepts</f>
        <v>40</v>
      </c>
      <c r="G17" s="30" t="s">
        <v>360</v>
      </c>
      <c r="H17" s="30" t="s">
        <v>89</v>
      </c>
      <c r="I17" s="192">
        <f>bensonhargls</f>
        <v>1</v>
      </c>
      <c r="J17" s="436">
        <f>bensonharatt</f>
        <v>1</v>
      </c>
      <c r="K17" s="358">
        <f t="shared" si="0"/>
        <v>100</v>
      </c>
      <c r="L17" s="61"/>
      <c r="M17" s="61"/>
      <c r="N17" s="9"/>
    </row>
    <row r="18" spans="1:21" ht="14.95" customHeight="1" thickBot="1" x14ac:dyDescent="0.3">
      <c r="A18" s="61" t="s">
        <v>810</v>
      </c>
      <c r="B18" s="61" t="s">
        <v>92</v>
      </c>
      <c r="C18" s="9">
        <f>MarmionBRItries</f>
        <v>5</v>
      </c>
      <c r="D18" s="2" t="s">
        <v>1031</v>
      </c>
      <c r="E18" s="2" t="s">
        <v>92</v>
      </c>
      <c r="F18" s="19">
        <f>JordanBRIPTS</f>
        <v>36</v>
      </c>
      <c r="G18" s="30" t="s">
        <v>211</v>
      </c>
      <c r="H18" s="30" t="s">
        <v>82</v>
      </c>
      <c r="I18" s="192">
        <f>de_Glanvillebthgls</f>
        <v>1</v>
      </c>
      <c r="J18" s="436">
        <f>deglanvillebthatt</f>
        <v>1</v>
      </c>
      <c r="K18" s="358">
        <f t="shared" si="0"/>
        <v>100</v>
      </c>
      <c r="L18" s="61"/>
      <c r="M18" s="61"/>
      <c r="N18" s="9"/>
    </row>
    <row r="19" spans="1:21" ht="14.95" customHeight="1" thickBot="1" x14ac:dyDescent="0.3">
      <c r="A19" s="10" t="s">
        <v>184</v>
      </c>
      <c r="B19" s="10" t="s">
        <v>81</v>
      </c>
      <c r="C19" s="9">
        <f>Roebucksaltries</f>
        <v>5</v>
      </c>
      <c r="D19" s="2" t="s">
        <v>548</v>
      </c>
      <c r="E19" s="2" t="s">
        <v>92</v>
      </c>
      <c r="F19" s="19">
        <f>Oghrebripts</f>
        <v>35</v>
      </c>
      <c r="G19" s="30" t="s">
        <v>220</v>
      </c>
      <c r="H19" s="30" t="s">
        <v>90</v>
      </c>
      <c r="I19" s="192">
        <f>Hodgeexegls</f>
        <v>1</v>
      </c>
      <c r="J19" s="436">
        <f>Hodgeexeatt</f>
        <v>1</v>
      </c>
      <c r="K19" s="358">
        <f t="shared" si="0"/>
        <v>100</v>
      </c>
      <c r="L19" s="8"/>
      <c r="M19" s="8"/>
      <c r="N19" s="9"/>
    </row>
    <row r="20" spans="1:21" ht="14.95" customHeight="1" thickBot="1" x14ac:dyDescent="0.3">
      <c r="A20" s="61" t="s">
        <v>277</v>
      </c>
      <c r="B20" s="61" t="s">
        <v>89</v>
      </c>
      <c r="C20" s="9">
        <f>Evanshartries</f>
        <v>4</v>
      </c>
      <c r="D20" s="17" t="s">
        <v>618</v>
      </c>
      <c r="E20" s="17" t="s">
        <v>92</v>
      </c>
      <c r="F20" s="19">
        <f>Ravouvoubripts</f>
        <v>35</v>
      </c>
      <c r="G20" s="30" t="s">
        <v>125</v>
      </c>
      <c r="H20" s="30" t="s">
        <v>92</v>
      </c>
      <c r="I20" s="192">
        <f>MacGintybrigls</f>
        <v>1</v>
      </c>
      <c r="J20" s="436">
        <f>macgintybriatt</f>
        <v>1</v>
      </c>
      <c r="K20" s="358">
        <f t="shared" si="0"/>
        <v>100</v>
      </c>
      <c r="L20" s="8"/>
      <c r="M20" s="8"/>
      <c r="N20" s="9"/>
    </row>
    <row r="21" spans="1:21" ht="14.95" customHeight="1" thickBot="1" x14ac:dyDescent="0.3">
      <c r="A21" s="12" t="s">
        <v>287</v>
      </c>
      <c r="B21" s="12" t="s">
        <v>89</v>
      </c>
      <c r="C21" s="6">
        <f>Greenhartries</f>
        <v>4</v>
      </c>
      <c r="D21" s="2" t="s">
        <v>998</v>
      </c>
      <c r="E21" s="2" t="s">
        <v>82</v>
      </c>
      <c r="F21" s="19">
        <f>Baileybthpts</f>
        <v>30</v>
      </c>
      <c r="G21" s="30" t="s">
        <v>157</v>
      </c>
      <c r="H21" s="30" t="s">
        <v>81</v>
      </c>
      <c r="I21" s="192">
        <f>dupreezsalgls</f>
        <v>6</v>
      </c>
      <c r="J21" s="436">
        <f>dupreezsalatt</f>
        <v>7</v>
      </c>
      <c r="K21" s="358">
        <f t="shared" si="0"/>
        <v>85.714285714285708</v>
      </c>
      <c r="L21" s="8"/>
      <c r="M21" s="8"/>
      <c r="N21" s="9"/>
    </row>
    <row r="22" spans="1:21" ht="14.95" customHeight="1" thickBot="1" x14ac:dyDescent="0.3">
      <c r="A22" s="61" t="s">
        <v>366</v>
      </c>
      <c r="B22" s="61" t="s">
        <v>83</v>
      </c>
      <c r="C22" s="9">
        <f>Hendynortries</f>
        <v>4</v>
      </c>
      <c r="D22" s="2" t="s">
        <v>843</v>
      </c>
      <c r="E22" s="2" t="s">
        <v>83</v>
      </c>
      <c r="F22" s="19">
        <f>PearsonNOR_pts</f>
        <v>30</v>
      </c>
      <c r="G22" s="30" t="s">
        <v>759</v>
      </c>
      <c r="H22" s="30" t="s">
        <v>322</v>
      </c>
      <c r="I22" s="192">
        <f>elliottsargls</f>
        <v>5</v>
      </c>
      <c r="J22" s="436">
        <f>elliottsaratt</f>
        <v>6</v>
      </c>
      <c r="K22" s="358">
        <f t="shared" si="0"/>
        <v>83.333333333333343</v>
      </c>
      <c r="L22" s="8"/>
      <c r="M22" s="8"/>
      <c r="N22" s="9"/>
      <c r="U22" t="s">
        <v>21</v>
      </c>
    </row>
    <row r="23" spans="1:21" ht="14.95" customHeight="1" thickBot="1" x14ac:dyDescent="0.3">
      <c r="A23" s="61" t="s">
        <v>72</v>
      </c>
      <c r="B23" s="61" t="s">
        <v>81</v>
      </c>
      <c r="C23" s="9">
        <f>James_Lsaltries</f>
        <v>4</v>
      </c>
      <c r="D23" s="2" t="s">
        <v>261</v>
      </c>
      <c r="E23" s="2" t="s">
        <v>544</v>
      </c>
      <c r="F23" s="19">
        <f>Radwanleipts</f>
        <v>30</v>
      </c>
      <c r="G23" s="30" t="s">
        <v>525</v>
      </c>
      <c r="H23" s="30" t="s">
        <v>89</v>
      </c>
      <c r="I23" s="192">
        <f>Marchanthargls</f>
        <v>7</v>
      </c>
      <c r="J23" s="436">
        <f>marchantharatt</f>
        <v>9</v>
      </c>
      <c r="K23" s="358">
        <f t="shared" si="0"/>
        <v>77.777777777777786</v>
      </c>
      <c r="L23" s="8"/>
      <c r="M23" s="8"/>
      <c r="N23" s="9"/>
    </row>
    <row r="24" spans="1:21" ht="14.95" customHeight="1" thickBot="1" x14ac:dyDescent="0.3">
      <c r="A24" s="10" t="s">
        <v>429</v>
      </c>
      <c r="B24" s="10" t="s">
        <v>81</v>
      </c>
      <c r="C24" s="9">
        <f>Jibulusaltries</f>
        <v>4</v>
      </c>
      <c r="D24" s="2" t="s">
        <v>1028</v>
      </c>
      <c r="E24" s="2" t="s">
        <v>83</v>
      </c>
      <c r="F24" s="19">
        <f>Todaronorpts</f>
        <v>30</v>
      </c>
      <c r="G24" s="30" t="s">
        <v>1012</v>
      </c>
      <c r="H24" s="30" t="s">
        <v>544</v>
      </c>
      <c r="I24" s="192">
        <f>Shillcockleicgls</f>
        <v>7</v>
      </c>
      <c r="J24" s="436">
        <f>shillcockleicatt</f>
        <v>9</v>
      </c>
      <c r="K24" s="358">
        <f t="shared" si="0"/>
        <v>77.777777777777786</v>
      </c>
      <c r="L24" s="570" t="s">
        <v>145</v>
      </c>
      <c r="M24" s="456"/>
      <c r="N24" s="456"/>
    </row>
    <row r="25" spans="1:21" ht="14.95" customHeight="1" thickBot="1" x14ac:dyDescent="0.3">
      <c r="A25" s="12" t="s">
        <v>1037</v>
      </c>
      <c r="B25" s="12" t="s">
        <v>80</v>
      </c>
      <c r="C25" s="6">
        <f>Josephglotries</f>
        <v>4</v>
      </c>
      <c r="D25" s="2" t="s">
        <v>759</v>
      </c>
      <c r="E25" s="2" t="s">
        <v>322</v>
      </c>
      <c r="F25" s="19">
        <f>Bryansarpts</f>
        <v>25</v>
      </c>
      <c r="G25" s="32" t="s">
        <v>187</v>
      </c>
      <c r="H25" s="30" t="s">
        <v>92</v>
      </c>
      <c r="I25" s="194">
        <f>williamsbrigls</f>
        <v>3</v>
      </c>
      <c r="J25" s="436">
        <f>williamsbriatt</f>
        <v>4</v>
      </c>
      <c r="K25" s="358">
        <f t="shared" si="0"/>
        <v>75</v>
      </c>
    </row>
    <row r="26" spans="1:21" ht="14.95" customHeight="1" thickBot="1" x14ac:dyDescent="0.3">
      <c r="A26" s="61" t="s">
        <v>128</v>
      </c>
      <c r="B26" s="61" t="s">
        <v>81</v>
      </c>
      <c r="C26" s="9">
        <f>Neildsaltries</f>
        <v>4</v>
      </c>
      <c r="D26" s="2" t="s">
        <v>168</v>
      </c>
      <c r="E26" s="2" t="s">
        <v>83</v>
      </c>
      <c r="F26" s="19">
        <f>Colesnorpts</f>
        <v>25</v>
      </c>
      <c r="G26" s="32" t="s">
        <v>280</v>
      </c>
      <c r="H26" s="30" t="s">
        <v>82</v>
      </c>
      <c r="I26" s="192">
        <f>Baileybthgls</f>
        <v>5</v>
      </c>
      <c r="J26" s="436">
        <f>baileybthatt</f>
        <v>8</v>
      </c>
      <c r="K26" s="358">
        <f t="shared" si="0"/>
        <v>62.5</v>
      </c>
    </row>
    <row r="27" spans="1:21" ht="14.95" customHeight="1" thickBot="1" x14ac:dyDescent="0.3">
      <c r="A27" s="61" t="s">
        <v>955</v>
      </c>
      <c r="B27" s="61" t="s">
        <v>92</v>
      </c>
      <c r="C27" s="9">
        <f>Rees_Zammitbritries</f>
        <v>4</v>
      </c>
      <c r="D27" s="2" t="s">
        <v>528</v>
      </c>
      <c r="E27" s="2" t="s">
        <v>90</v>
      </c>
      <c r="F27" s="19">
        <f>FisilauEXEpts</f>
        <v>25</v>
      </c>
      <c r="G27" s="30" t="s">
        <v>293</v>
      </c>
      <c r="H27" s="30" t="s">
        <v>544</v>
      </c>
      <c r="I27" s="192">
        <f>Kellyleicgls</f>
        <v>4</v>
      </c>
      <c r="J27" s="436">
        <f>kellyleicatt</f>
        <v>8</v>
      </c>
      <c r="K27" s="358">
        <f t="shared" si="0"/>
        <v>50</v>
      </c>
    </row>
    <row r="28" spans="1:21" ht="14.95" customHeight="1" thickBot="1" x14ac:dyDescent="0.3">
      <c r="A28" s="61" t="s">
        <v>885</v>
      </c>
      <c r="B28" s="61" t="s">
        <v>322</v>
      </c>
      <c r="C28" s="9">
        <f>Brackensartries</f>
        <v>3</v>
      </c>
      <c r="D28" s="2" t="s">
        <v>541</v>
      </c>
      <c r="E28" s="2" t="s">
        <v>322</v>
      </c>
      <c r="F28" s="19">
        <f>Gonzalezsarpts</f>
        <v>25</v>
      </c>
      <c r="G28" s="32" t="s">
        <v>1021</v>
      </c>
      <c r="H28" s="30" t="s">
        <v>917</v>
      </c>
      <c r="I28" s="194">
        <f>Chamberlainnrbgls</f>
        <v>0</v>
      </c>
      <c r="J28" s="436">
        <f>Chamberlainnrbatt</f>
        <v>2</v>
      </c>
      <c r="K28" s="358">
        <f t="shared" si="0"/>
        <v>0</v>
      </c>
    </row>
    <row r="29" spans="1:21" ht="14.95" customHeight="1" thickBot="1" x14ac:dyDescent="0.3">
      <c r="A29" s="61" t="s">
        <v>759</v>
      </c>
      <c r="B29" s="61" t="s">
        <v>322</v>
      </c>
      <c r="C29" s="9">
        <f>Bryansartries</f>
        <v>3</v>
      </c>
      <c r="D29" s="2" t="s">
        <v>542</v>
      </c>
      <c r="E29" s="2" t="s">
        <v>322</v>
      </c>
      <c r="F29" s="19">
        <f>malinssarpts2ndspell</f>
        <v>25</v>
      </c>
      <c r="G29" s="30" t="s">
        <v>900</v>
      </c>
      <c r="H29" s="30" t="s">
        <v>544</v>
      </c>
      <c r="I29" s="192">
        <f>youngsbgoals</f>
        <v>0</v>
      </c>
      <c r="J29" s="436">
        <f>youngsbatt</f>
        <v>1</v>
      </c>
      <c r="K29" s="358">
        <f t="shared" si="0"/>
        <v>0</v>
      </c>
      <c r="L29" s="4"/>
    </row>
    <row r="30" spans="1:21" ht="14.95" customHeight="1" thickBot="1" x14ac:dyDescent="0.3">
      <c r="A30" s="61" t="s">
        <v>109</v>
      </c>
      <c r="B30" s="61" t="s">
        <v>89</v>
      </c>
      <c r="C30" s="9">
        <f>Dombrandthartries</f>
        <v>3</v>
      </c>
      <c r="D30" s="17" t="s">
        <v>810</v>
      </c>
      <c r="E30" s="17" t="s">
        <v>92</v>
      </c>
      <c r="F30" s="19">
        <f>MarmionBRIpts</f>
        <v>25</v>
      </c>
      <c r="G30" s="32" t="s">
        <v>270</v>
      </c>
      <c r="H30" s="30" t="s">
        <v>80</v>
      </c>
      <c r="I30" s="192" t="str">
        <f>atkinsonCglogls</f>
        <v>-</v>
      </c>
      <c r="J30" s="440" t="str">
        <f>atkinsonCgloatt</f>
        <v>-</v>
      </c>
      <c r="K30" s="358"/>
      <c r="L30" t="s">
        <v>21</v>
      </c>
    </row>
    <row r="31" spans="1:21" ht="14.95" customHeight="1" thickBot="1" x14ac:dyDescent="0.3">
      <c r="A31" s="61" t="s">
        <v>536</v>
      </c>
      <c r="B31" s="61" t="s">
        <v>82</v>
      </c>
      <c r="C31" s="9">
        <f>du_Toitbthtries</f>
        <v>3</v>
      </c>
      <c r="D31" s="17" t="s">
        <v>184</v>
      </c>
      <c r="E31" s="17" t="s">
        <v>81</v>
      </c>
      <c r="F31" s="20">
        <f>Roebucksalpts</f>
        <v>25</v>
      </c>
      <c r="G31" s="30" t="s">
        <v>177</v>
      </c>
      <c r="H31" s="30" t="s">
        <v>80</v>
      </c>
      <c r="I31" s="192" t="str">
        <f>Bartonglogls</f>
        <v>-</v>
      </c>
      <c r="J31" s="436" t="str">
        <f>Bartongloatt</f>
        <v>-</v>
      </c>
      <c r="K31" s="358"/>
      <c r="L31" t="s">
        <v>21</v>
      </c>
    </row>
    <row r="32" spans="1:21" ht="14.95" customHeight="1" thickBot="1" x14ac:dyDescent="0.3">
      <c r="A32" s="10" t="s">
        <v>110</v>
      </c>
      <c r="B32" s="10" t="s">
        <v>82</v>
      </c>
      <c r="C32" s="9">
        <f>Dunnbattries</f>
        <v>3</v>
      </c>
      <c r="D32" s="2" t="s">
        <v>100</v>
      </c>
      <c r="E32" s="2" t="s">
        <v>82</v>
      </c>
      <c r="F32" s="19">
        <f>Spencer_Bbthpts</f>
        <v>23</v>
      </c>
      <c r="G32" s="30" t="s">
        <v>372</v>
      </c>
      <c r="H32" s="30" t="s">
        <v>89</v>
      </c>
      <c r="I32" s="192" t="str">
        <f>beardhargls</f>
        <v>-</v>
      </c>
      <c r="J32" s="436" t="str">
        <f>beardharatt</f>
        <v>-</v>
      </c>
      <c r="K32" s="358"/>
      <c r="L32" t="s">
        <v>21</v>
      </c>
    </row>
    <row r="33" spans="1:15" ht="14.95" customHeight="1" thickBot="1" x14ac:dyDescent="0.3">
      <c r="A33" s="61" t="s">
        <v>557</v>
      </c>
      <c r="B33" s="61" t="s">
        <v>90</v>
      </c>
      <c r="C33" s="9">
        <f>Dunneexetries</f>
        <v>3</v>
      </c>
      <c r="D33" s="2" t="s">
        <v>157</v>
      </c>
      <c r="E33" s="2" t="s">
        <v>81</v>
      </c>
      <c r="F33" s="19">
        <f>du_Preez_Rsalpts</f>
        <v>22</v>
      </c>
      <c r="G33" s="30" t="s">
        <v>442</v>
      </c>
      <c r="H33" s="30" t="s">
        <v>90</v>
      </c>
      <c r="I33" s="192" t="str">
        <f>becconsallexegls</f>
        <v>-</v>
      </c>
      <c r="J33" s="436" t="str">
        <f>becconsallexeatt</f>
        <v>-</v>
      </c>
      <c r="K33" s="358"/>
    </row>
    <row r="34" spans="1:15" ht="14.95" customHeight="1" thickBot="1" x14ac:dyDescent="0.3">
      <c r="A34" s="61" t="s">
        <v>352</v>
      </c>
      <c r="B34" s="61" t="s">
        <v>82</v>
      </c>
      <c r="C34" s="9">
        <f>Garveymatttries</f>
        <v>3</v>
      </c>
      <c r="D34" s="2" t="s">
        <v>277</v>
      </c>
      <c r="E34" s="2" t="s">
        <v>89</v>
      </c>
      <c r="F34" s="19">
        <f>Evanswharpts</f>
        <v>20</v>
      </c>
      <c r="G34" s="30" t="s">
        <v>155</v>
      </c>
      <c r="H34" s="30" t="s">
        <v>81</v>
      </c>
      <c r="I34" s="192" t="str">
        <f>bedlowsalglscorrect</f>
        <v>-</v>
      </c>
      <c r="J34" s="436" t="str">
        <f>bedlowsalattcorrect</f>
        <v>-</v>
      </c>
      <c r="K34" s="358"/>
    </row>
    <row r="35" spans="1:15" ht="14.95" customHeight="1" thickBot="1" x14ac:dyDescent="0.3">
      <c r="A35" s="61" t="s">
        <v>122</v>
      </c>
      <c r="B35" s="61" t="s">
        <v>82</v>
      </c>
      <c r="C35" s="9">
        <f>Lawrencebthtries</f>
        <v>3</v>
      </c>
      <c r="D35" s="2" t="s">
        <v>287</v>
      </c>
      <c r="E35" s="2" t="s">
        <v>89</v>
      </c>
      <c r="F35" s="19">
        <f>Greenharpts</f>
        <v>20</v>
      </c>
      <c r="G35" s="30" t="s">
        <v>186</v>
      </c>
      <c r="H35" s="30" t="s">
        <v>81</v>
      </c>
      <c r="I35" s="192" t="str">
        <f>CURTISSALGLS</f>
        <v>-</v>
      </c>
      <c r="J35" s="436" t="str">
        <f>CURTISSALATT</f>
        <v>-</v>
      </c>
      <c r="K35" s="358"/>
    </row>
    <row r="36" spans="1:15" ht="14.95" customHeight="1" thickBot="1" x14ac:dyDescent="0.3">
      <c r="A36" s="61" t="s">
        <v>704</v>
      </c>
      <c r="B36" s="61" t="s">
        <v>917</v>
      </c>
      <c r="C36" s="9">
        <f>Georgesartries</f>
        <v>3</v>
      </c>
      <c r="D36" s="2" t="s">
        <v>366</v>
      </c>
      <c r="E36" s="2" t="s">
        <v>83</v>
      </c>
      <c r="F36" s="19">
        <f>Hendynorpts</f>
        <v>20</v>
      </c>
      <c r="G36" s="30" t="s">
        <v>866</v>
      </c>
      <c r="H36" s="30" t="s">
        <v>82</v>
      </c>
      <c r="I36" s="192" t="str">
        <f>odonoghuebthgls</f>
        <v>-</v>
      </c>
      <c r="J36" s="436" t="str">
        <f>odonoghuebthatt</f>
        <v>-</v>
      </c>
      <c r="K36" s="358"/>
    </row>
    <row r="37" spans="1:15" ht="14.95" customHeight="1" thickBot="1" x14ac:dyDescent="0.3">
      <c r="A37" s="61" t="s">
        <v>365</v>
      </c>
      <c r="B37" s="61" t="s">
        <v>83</v>
      </c>
      <c r="C37" s="9">
        <f>Litchfieldnortries</f>
        <v>3</v>
      </c>
      <c r="D37" s="2" t="s">
        <v>72</v>
      </c>
      <c r="E37" s="2" t="s">
        <v>81</v>
      </c>
      <c r="F37" s="19">
        <f>James_Lsalpts</f>
        <v>20</v>
      </c>
      <c r="G37" s="32" t="s">
        <v>812</v>
      </c>
      <c r="H37" s="30" t="s">
        <v>92</v>
      </c>
      <c r="I37" s="192" t="str">
        <f>elizaldebrigls</f>
        <v>-</v>
      </c>
      <c r="J37" s="436" t="str">
        <f>elizaldebriatt</f>
        <v>-</v>
      </c>
      <c r="K37" s="358"/>
      <c r="L37" s="44"/>
    </row>
    <row r="38" spans="1:15" ht="14.95" customHeight="1" thickBot="1" x14ac:dyDescent="0.3">
      <c r="A38" s="61" t="s">
        <v>331</v>
      </c>
      <c r="B38" s="61" t="s">
        <v>322</v>
      </c>
      <c r="C38" s="9">
        <f>McFarlandsartriescorrect</f>
        <v>3</v>
      </c>
      <c r="D38" s="17" t="s">
        <v>429</v>
      </c>
      <c r="E38" s="2" t="s">
        <v>81</v>
      </c>
      <c r="F38" s="19">
        <f>Jibulusalpts</f>
        <v>20</v>
      </c>
      <c r="G38" s="30" t="s">
        <v>591</v>
      </c>
      <c r="H38" s="30" t="s">
        <v>80</v>
      </c>
      <c r="I38" s="192" t="str">
        <f>englefieldglogls</f>
        <v>-</v>
      </c>
      <c r="J38" s="436" t="str">
        <f>englefieldgloatt</f>
        <v>-</v>
      </c>
      <c r="K38" s="358"/>
    </row>
    <row r="39" spans="1:15" ht="14.95" customHeight="1" thickBot="1" x14ac:dyDescent="0.3">
      <c r="A39" s="10" t="s">
        <v>127</v>
      </c>
      <c r="B39" s="10" t="s">
        <v>82</v>
      </c>
      <c r="C39" s="6">
        <f>Obanobthtries</f>
        <v>3</v>
      </c>
      <c r="D39" s="2" t="s">
        <v>1037</v>
      </c>
      <c r="E39" s="2" t="s">
        <v>80</v>
      </c>
      <c r="F39" s="19">
        <f>Josephglopts</f>
        <v>20</v>
      </c>
      <c r="G39" s="30" t="s">
        <v>114</v>
      </c>
      <c r="H39" s="30" t="s">
        <v>83</v>
      </c>
      <c r="I39" s="192" t="str">
        <f>furbanknorgls</f>
        <v>-</v>
      </c>
      <c r="J39" s="436" t="str">
        <f>furbanknoratt</f>
        <v>-</v>
      </c>
      <c r="K39" s="358"/>
    </row>
    <row r="40" spans="1:15" ht="14.95" customHeight="1" thickBot="1" x14ac:dyDescent="0.3">
      <c r="A40" s="61" t="s">
        <v>448</v>
      </c>
      <c r="B40" s="61" t="s">
        <v>83</v>
      </c>
      <c r="C40" s="9">
        <f>Pollocknortries</f>
        <v>3</v>
      </c>
      <c r="D40" s="2" t="s">
        <v>128</v>
      </c>
      <c r="E40" s="2" t="s">
        <v>81</v>
      </c>
      <c r="F40" s="19">
        <f>Neildsalpts</f>
        <v>20</v>
      </c>
      <c r="G40" s="32" t="s">
        <v>788</v>
      </c>
      <c r="H40" s="49" t="s">
        <v>917</v>
      </c>
      <c r="I40" s="194" t="str">
        <f>Graysonnewgls</f>
        <v>-</v>
      </c>
      <c r="J40" s="436" t="str">
        <f>Graysonnewatt</f>
        <v>-</v>
      </c>
      <c r="K40" s="358"/>
    </row>
    <row r="41" spans="1:15" ht="14.95" customHeight="1" thickBot="1" x14ac:dyDescent="0.3">
      <c r="A41" s="61" t="s">
        <v>131</v>
      </c>
      <c r="B41" s="61" t="s">
        <v>82</v>
      </c>
      <c r="C41" s="9">
        <f>Redpathbthtries</f>
        <v>3</v>
      </c>
      <c r="D41" s="2" t="s">
        <v>955</v>
      </c>
      <c r="E41" s="2" t="s">
        <v>92</v>
      </c>
      <c r="F41" s="19">
        <f>Rees_Zammitbripts</f>
        <v>20</v>
      </c>
      <c r="G41" s="30" t="s">
        <v>465</v>
      </c>
      <c r="H41" s="30" t="s">
        <v>82</v>
      </c>
      <c r="I41" s="192" t="str">
        <f>Harrisbthgls</f>
        <v>-</v>
      </c>
      <c r="J41" s="436" t="str">
        <f>harisbthatt</f>
        <v>-</v>
      </c>
      <c r="K41" s="358"/>
    </row>
    <row r="42" spans="1:15" ht="14.95" customHeight="1" thickBot="1" x14ac:dyDescent="0.3">
      <c r="A42" s="61" t="s">
        <v>132</v>
      </c>
      <c r="B42" s="61" t="s">
        <v>81</v>
      </c>
      <c r="C42" s="9">
        <f>Readsaltries</f>
        <v>3</v>
      </c>
      <c r="D42" s="2" t="s">
        <v>525</v>
      </c>
      <c r="E42" s="2" t="s">
        <v>89</v>
      </c>
      <c r="F42" s="19">
        <f>Evans_Jharptscorrect</f>
        <v>17</v>
      </c>
      <c r="G42" s="30" t="s">
        <v>848</v>
      </c>
      <c r="H42" s="30" t="s">
        <v>90</v>
      </c>
      <c r="I42" s="192" t="str">
        <f>HAYDONWOODEXEGLS</f>
        <v>-</v>
      </c>
      <c r="J42" s="436" t="str">
        <f>HAYDONWOODEXEATT</f>
        <v>-</v>
      </c>
      <c r="K42" s="358"/>
      <c r="O42" s="44" t="s">
        <v>21</v>
      </c>
    </row>
    <row r="43" spans="1:15" ht="14.95" customHeight="1" thickBot="1" x14ac:dyDescent="0.3">
      <c r="A43" s="61" t="s">
        <v>156</v>
      </c>
      <c r="B43" s="10" t="s">
        <v>544</v>
      </c>
      <c r="C43" s="9">
        <f>Salvijuliantries</f>
        <v>3</v>
      </c>
      <c r="D43" s="2" t="s">
        <v>1012</v>
      </c>
      <c r="E43" s="2" t="s">
        <v>544</v>
      </c>
      <c r="F43" s="19">
        <f>O_Connorleipts</f>
        <v>16</v>
      </c>
      <c r="G43" s="30" t="s">
        <v>117</v>
      </c>
      <c r="H43" s="30" t="s">
        <v>83</v>
      </c>
      <c r="I43" s="192" t="str">
        <f>hutchinsonnorgls</f>
        <v>-</v>
      </c>
      <c r="J43" s="436" t="str">
        <f>hutchinsonnoratt</f>
        <v>-</v>
      </c>
      <c r="K43" s="358"/>
    </row>
    <row r="44" spans="1:15" ht="14.95" customHeight="1" thickBot="1" x14ac:dyDescent="0.3">
      <c r="A44" s="61" t="s">
        <v>144</v>
      </c>
      <c r="B44" s="61" t="s">
        <v>89</v>
      </c>
      <c r="C44" s="9">
        <f>Smithhartries</f>
        <v>3</v>
      </c>
      <c r="D44" s="2" t="s">
        <v>885</v>
      </c>
      <c r="E44" s="2" t="s">
        <v>322</v>
      </c>
      <c r="F44" s="19">
        <f>Brackensarpts</f>
        <v>15</v>
      </c>
      <c r="G44" s="30" t="s">
        <v>470</v>
      </c>
      <c r="H44" s="30" t="s">
        <v>92</v>
      </c>
      <c r="I44" s="192" t="str">
        <f>Ibitoyebrigls</f>
        <v>-</v>
      </c>
      <c r="J44" s="436" t="str">
        <f>ibitoyebriatt</f>
        <v>-</v>
      </c>
      <c r="K44" s="358"/>
    </row>
    <row r="45" spans="1:15" ht="14.95" customHeight="1" thickBot="1" x14ac:dyDescent="0.3">
      <c r="A45" s="61" t="s">
        <v>710</v>
      </c>
      <c r="B45" s="61" t="s">
        <v>917</v>
      </c>
      <c r="C45" s="9">
        <f>Smithrnewtries</f>
        <v>3</v>
      </c>
      <c r="D45" s="2" t="s">
        <v>280</v>
      </c>
      <c r="E45" s="2" t="s">
        <v>82</v>
      </c>
      <c r="F45" s="19">
        <f>Carrerasbthpts</f>
        <v>15</v>
      </c>
      <c r="G45" s="30" t="s">
        <v>272</v>
      </c>
      <c r="H45" s="30" t="s">
        <v>83</v>
      </c>
      <c r="I45" s="192" t="str">
        <f>Jamesnorgls</f>
        <v>-</v>
      </c>
      <c r="J45" s="436" t="str">
        <f>jamesnoratt</f>
        <v>-</v>
      </c>
      <c r="K45" s="358"/>
    </row>
    <row r="46" spans="1:15" ht="14.95" customHeight="1" thickBot="1" x14ac:dyDescent="0.3">
      <c r="A46" s="61" t="s">
        <v>201</v>
      </c>
      <c r="B46" s="10" t="s">
        <v>544</v>
      </c>
      <c r="C46" s="6">
        <f>Stevensleictries</f>
        <v>3</v>
      </c>
      <c r="D46" s="2" t="s">
        <v>109</v>
      </c>
      <c r="E46" s="2" t="s">
        <v>89</v>
      </c>
      <c r="F46" s="19">
        <f>Dombrandtharpts</f>
        <v>15</v>
      </c>
      <c r="G46" s="30" t="s">
        <v>576</v>
      </c>
      <c r="H46" s="30" t="s">
        <v>92</v>
      </c>
      <c r="I46" s="192" t="str">
        <f>LloydBriGls</f>
        <v>-</v>
      </c>
      <c r="J46" s="436" t="str">
        <f>LloydBriAtt</f>
        <v>-</v>
      </c>
      <c r="K46" s="358"/>
    </row>
    <row r="47" spans="1:15" ht="14.95" customHeight="1" thickBot="1" x14ac:dyDescent="0.3">
      <c r="A47" s="61" t="s">
        <v>136</v>
      </c>
      <c r="B47" s="61" t="s">
        <v>80</v>
      </c>
      <c r="C47" s="9">
        <f>Thorleyglotriescorrect</f>
        <v>3</v>
      </c>
      <c r="D47" s="2" t="s">
        <v>536</v>
      </c>
      <c r="E47" s="2" t="s">
        <v>82</v>
      </c>
      <c r="F47" s="19">
        <f>du_Toitbthpts</f>
        <v>15</v>
      </c>
      <c r="G47" s="30" t="s">
        <v>461</v>
      </c>
      <c r="H47" s="30" t="s">
        <v>90</v>
      </c>
      <c r="I47" s="192" t="str">
        <f>jenkinsiexegls</f>
        <v>-</v>
      </c>
      <c r="J47" s="436" t="str">
        <f>jenkinsiexeatt</f>
        <v>-</v>
      </c>
      <c r="K47" s="358"/>
    </row>
    <row r="48" spans="1:15" ht="14.95" customHeight="1" thickBot="1" x14ac:dyDescent="0.3">
      <c r="A48" s="12" t="s">
        <v>772</v>
      </c>
      <c r="B48" s="61" t="s">
        <v>322</v>
      </c>
      <c r="C48" s="6">
        <f>Tizardsartries</f>
        <v>3</v>
      </c>
      <c r="D48" s="17" t="s">
        <v>110</v>
      </c>
      <c r="E48" s="17" t="s">
        <v>82</v>
      </c>
      <c r="F48" s="19">
        <f>Dunntompts</f>
        <v>15</v>
      </c>
      <c r="G48" s="32" t="s">
        <v>761</v>
      </c>
      <c r="H48" s="49" t="s">
        <v>322</v>
      </c>
      <c r="I48" s="194" t="str">
        <f>farrellsarglscorrect</f>
        <v>-</v>
      </c>
      <c r="J48" s="436" t="str">
        <f>farrellsarattcorrect</f>
        <v>-</v>
      </c>
      <c r="K48" s="358"/>
    </row>
    <row r="49" spans="1:11" ht="14.95" customHeight="1" thickBot="1" x14ac:dyDescent="0.3">
      <c r="A49" s="61" t="s">
        <v>336</v>
      </c>
      <c r="B49" s="61" t="s">
        <v>322</v>
      </c>
      <c r="C49" s="9">
        <f>Tompkinssartriescorrect</f>
        <v>3</v>
      </c>
      <c r="D49" s="2" t="s">
        <v>557</v>
      </c>
      <c r="E49" s="2" t="s">
        <v>90</v>
      </c>
      <c r="F49" s="20">
        <f>Dunneexepts</f>
        <v>15</v>
      </c>
      <c r="G49" s="30" t="s">
        <v>391</v>
      </c>
      <c r="H49" s="30" t="s">
        <v>92</v>
      </c>
      <c r="I49" s="192" t="str">
        <f>lanebrigls</f>
        <v>-</v>
      </c>
      <c r="J49" s="436" t="str">
        <f>lanebriatt</f>
        <v>-</v>
      </c>
      <c r="K49" s="358"/>
    </row>
    <row r="50" spans="1:11" ht="14.95" customHeight="1" thickBot="1" x14ac:dyDescent="0.3">
      <c r="A50" s="61" t="s">
        <v>138</v>
      </c>
      <c r="B50" s="61" t="s">
        <v>82</v>
      </c>
      <c r="C50" s="9">
        <f>Underhillbthtries</f>
        <v>3</v>
      </c>
      <c r="D50" s="2" t="s">
        <v>352</v>
      </c>
      <c r="E50" s="2" t="s">
        <v>82</v>
      </c>
      <c r="F50" s="19">
        <f>Garveymattpts</f>
        <v>15</v>
      </c>
      <c r="G50" s="32" t="s">
        <v>329</v>
      </c>
      <c r="H50" s="49" t="s">
        <v>322</v>
      </c>
      <c r="I50" s="194" t="str">
        <f>lozowskisarglscorrect</f>
        <v>-</v>
      </c>
      <c r="J50" s="436" t="str">
        <f>lozowksisarattcorrect</f>
        <v>-</v>
      </c>
      <c r="K50" s="358"/>
    </row>
    <row r="51" spans="1:11" ht="14.95" customHeight="1" thickBot="1" x14ac:dyDescent="0.3">
      <c r="A51" s="61" t="s">
        <v>538</v>
      </c>
      <c r="B51" s="61" t="s">
        <v>90</v>
      </c>
      <c r="C51" s="9">
        <f>Whittentries</f>
        <v>3</v>
      </c>
      <c r="D51" s="2" t="s">
        <v>122</v>
      </c>
      <c r="E51" s="2" t="s">
        <v>82</v>
      </c>
      <c r="F51" s="19">
        <f>Lawrencebthpts</f>
        <v>15</v>
      </c>
      <c r="G51" s="30" t="s">
        <v>126</v>
      </c>
      <c r="H51" s="30" t="s">
        <v>83</v>
      </c>
      <c r="I51" s="192" t="str">
        <f>Mitchellnoryrgls</f>
        <v>-</v>
      </c>
      <c r="J51" s="436" t="str">
        <f>mitchellnoryratt</f>
        <v>-</v>
      </c>
      <c r="K51" s="358"/>
    </row>
    <row r="52" spans="1:11" ht="14.95" customHeight="1" thickBot="1" x14ac:dyDescent="0.3">
      <c r="A52" s="61" t="s">
        <v>965</v>
      </c>
      <c r="B52" s="61" t="s">
        <v>83</v>
      </c>
      <c r="C52" s="9">
        <f>Braleynortriescorrect</f>
        <v>2</v>
      </c>
      <c r="D52" s="2" t="s">
        <v>704</v>
      </c>
      <c r="E52" s="2" t="s">
        <v>917</v>
      </c>
      <c r="F52" s="19">
        <f>Georgesarpts</f>
        <v>15</v>
      </c>
      <c r="G52" s="30" t="s">
        <v>188</v>
      </c>
      <c r="H52" s="30" t="s">
        <v>80</v>
      </c>
      <c r="I52" s="192" t="str">
        <f>Morrisjglogls</f>
        <v>-</v>
      </c>
      <c r="J52" s="436" t="str">
        <f>morrisjgloatt</f>
        <v>-</v>
      </c>
      <c r="K52" s="358"/>
    </row>
    <row r="53" spans="1:11" ht="14.95" customHeight="1" thickBot="1" x14ac:dyDescent="0.3">
      <c r="A53" s="61" t="s">
        <v>312</v>
      </c>
      <c r="B53" s="61" t="s">
        <v>82</v>
      </c>
      <c r="C53" s="9">
        <f>Buttbthtries</f>
        <v>2</v>
      </c>
      <c r="D53" s="2" t="s">
        <v>365</v>
      </c>
      <c r="E53" s="2" t="s">
        <v>83</v>
      </c>
      <c r="F53" s="19">
        <f>Litchfieldnorpts</f>
        <v>15</v>
      </c>
      <c r="G53" s="30" t="s">
        <v>1055</v>
      </c>
      <c r="H53" s="30" t="s">
        <v>83</v>
      </c>
      <c r="I53" s="192" t="str">
        <f>paternorgls</f>
        <v>-</v>
      </c>
      <c r="J53" s="436" t="str">
        <f>paternoratt</f>
        <v>-</v>
      </c>
      <c r="K53" s="358"/>
    </row>
    <row r="54" spans="1:11" ht="14.95" customHeight="1" thickBot="1" x14ac:dyDescent="0.3">
      <c r="A54" s="12" t="s">
        <v>402</v>
      </c>
      <c r="B54" s="12" t="s">
        <v>89</v>
      </c>
      <c r="C54" s="9">
        <f>Cleaveshartries</f>
        <v>2</v>
      </c>
      <c r="D54" s="2" t="s">
        <v>331</v>
      </c>
      <c r="E54" s="2" t="s">
        <v>322</v>
      </c>
      <c r="F54" s="19">
        <f>McFarlandsarptscorrect</f>
        <v>15</v>
      </c>
      <c r="G54" s="30" t="s">
        <v>131</v>
      </c>
      <c r="H54" s="30" t="s">
        <v>82</v>
      </c>
      <c r="I54" s="192" t="str">
        <f>repathbthgls</f>
        <v>-</v>
      </c>
      <c r="J54" s="436" t="str">
        <f>redpathbthatt</f>
        <v>-</v>
      </c>
      <c r="K54" s="358"/>
    </row>
    <row r="55" spans="1:11" ht="14.95" customHeight="1" thickBot="1" x14ac:dyDescent="0.3">
      <c r="A55" s="61" t="s">
        <v>347</v>
      </c>
      <c r="B55" s="61" t="s">
        <v>80</v>
      </c>
      <c r="C55" s="9">
        <f>Coetzerglotries</f>
        <v>2</v>
      </c>
      <c r="D55" s="19" t="s">
        <v>127</v>
      </c>
      <c r="E55" s="19" t="s">
        <v>82</v>
      </c>
      <c r="F55" s="19">
        <f>Obanobthpts</f>
        <v>15</v>
      </c>
      <c r="G55" s="30" t="s">
        <v>154</v>
      </c>
      <c r="H55" s="30" t="s">
        <v>90</v>
      </c>
      <c r="I55" s="192" t="str">
        <f>Skinnerexegls</f>
        <v>-</v>
      </c>
      <c r="J55" s="436" t="str">
        <f>Skinnerexeatt</f>
        <v>-</v>
      </c>
      <c r="K55" s="358"/>
    </row>
    <row r="56" spans="1:11" ht="14.95" customHeight="1" thickBot="1" x14ac:dyDescent="0.3">
      <c r="A56" s="9" t="s">
        <v>556</v>
      </c>
      <c r="B56" s="10" t="s">
        <v>81</v>
      </c>
      <c r="C56" s="9">
        <f>Cowan_Dickiesaltries</f>
        <v>2</v>
      </c>
      <c r="D56" s="21" t="s">
        <v>448</v>
      </c>
      <c r="E56" s="21" t="s">
        <v>83</v>
      </c>
      <c r="F56" s="20">
        <f>Pollocknorpts</f>
        <v>15</v>
      </c>
      <c r="G56" s="30" t="s">
        <v>432</v>
      </c>
      <c r="H56" s="30" t="s">
        <v>89</v>
      </c>
      <c r="I56" s="192" t="str">
        <f>SlevinHARgls</f>
        <v>-</v>
      </c>
      <c r="J56" s="436" t="str">
        <f>SlevinHARatt</f>
        <v>-</v>
      </c>
      <c r="K56" s="358"/>
    </row>
    <row r="57" spans="1:11" ht="14.95" customHeight="1" thickBot="1" x14ac:dyDescent="0.3">
      <c r="A57" s="8" t="s">
        <v>377</v>
      </c>
      <c r="B57" s="10" t="s">
        <v>544</v>
      </c>
      <c r="C57" s="48">
        <f>Cracknellleitries</f>
        <v>2</v>
      </c>
      <c r="D57" s="21" t="s">
        <v>131</v>
      </c>
      <c r="E57" s="21" t="s">
        <v>82</v>
      </c>
      <c r="F57" s="19">
        <f>Redpathbthpts</f>
        <v>15</v>
      </c>
      <c r="G57" s="30" t="s">
        <v>201</v>
      </c>
      <c r="H57" s="30" t="s">
        <v>544</v>
      </c>
      <c r="I57" s="192" t="str">
        <f>Stewardleicgls</f>
        <v>-</v>
      </c>
      <c r="J57" s="193" t="str">
        <f>stewardleicatt</f>
        <v>-</v>
      </c>
      <c r="K57" s="358"/>
    </row>
    <row r="58" spans="1:11" ht="14.95" customHeight="1" thickBot="1" x14ac:dyDescent="0.3">
      <c r="A58" s="8" t="s">
        <v>481</v>
      </c>
      <c r="B58" s="61" t="s">
        <v>322</v>
      </c>
      <c r="C58" s="9">
        <f>Dansartries</f>
        <v>2</v>
      </c>
      <c r="D58" s="21" t="s">
        <v>132</v>
      </c>
      <c r="E58" s="21" t="s">
        <v>81</v>
      </c>
      <c r="F58" s="19">
        <f>Readsalpts</f>
        <v>15</v>
      </c>
      <c r="G58" s="30" t="s">
        <v>257</v>
      </c>
      <c r="H58" s="30" t="s">
        <v>917</v>
      </c>
      <c r="I58" s="192" t="str">
        <f>Vunipola_Msaratt</f>
        <v>-</v>
      </c>
      <c r="J58" s="193" t="str">
        <f>Vunipola_Msargls</f>
        <v>-</v>
      </c>
      <c r="K58" s="358"/>
    </row>
    <row r="59" spans="1:11" ht="14.95" customHeight="1" thickBot="1" x14ac:dyDescent="0.3">
      <c r="A59" s="8" t="s">
        <v>211</v>
      </c>
      <c r="B59" s="61" t="s">
        <v>82</v>
      </c>
      <c r="C59" s="9">
        <f>Delmasbthtries</f>
        <v>2</v>
      </c>
      <c r="D59" s="21" t="s">
        <v>156</v>
      </c>
      <c r="E59" s="21" t="s">
        <v>544</v>
      </c>
      <c r="F59" s="19">
        <f>Salvijulianpts</f>
        <v>15</v>
      </c>
      <c r="G59" s="30" t="s">
        <v>823</v>
      </c>
      <c r="H59" s="30" t="s">
        <v>544</v>
      </c>
      <c r="I59" s="192" t="str">
        <f>threlfallleigls</f>
        <v>-</v>
      </c>
      <c r="J59" s="193" t="str">
        <f>threlfallleiatt</f>
        <v>-</v>
      </c>
      <c r="K59" s="358"/>
    </row>
    <row r="60" spans="1:11" ht="14.95" customHeight="1" thickBot="1" x14ac:dyDescent="0.3">
      <c r="A60" s="8" t="s">
        <v>157</v>
      </c>
      <c r="B60" s="61" t="s">
        <v>81</v>
      </c>
      <c r="C60" s="9">
        <f>du_Preez_Rsaltries</f>
        <v>2</v>
      </c>
      <c r="D60" s="21" t="s">
        <v>710</v>
      </c>
      <c r="E60" s="21" t="s">
        <v>917</v>
      </c>
      <c r="F60" s="19">
        <f>Smithrnewpts</f>
        <v>15</v>
      </c>
      <c r="G60" s="30" t="s">
        <v>355</v>
      </c>
      <c r="H60" s="30" t="s">
        <v>81</v>
      </c>
      <c r="I60" s="192" t="str">
        <f>WarrSALgls</f>
        <v>-</v>
      </c>
      <c r="J60" s="193" t="str">
        <f>WarrSALatt</f>
        <v>-</v>
      </c>
      <c r="K60" s="358"/>
    </row>
    <row r="61" spans="1:11" ht="14.95" customHeight="1" thickBot="1" x14ac:dyDescent="0.3">
      <c r="A61" s="8" t="s">
        <v>111</v>
      </c>
      <c r="B61" s="61" t="s">
        <v>322</v>
      </c>
      <c r="C61" s="9">
        <f>Earlsartriescorrect</f>
        <v>2</v>
      </c>
      <c r="D61" s="21" t="s">
        <v>201</v>
      </c>
      <c r="E61" s="21" t="s">
        <v>544</v>
      </c>
      <c r="F61" s="19">
        <f>Stevensleicpts</f>
        <v>15</v>
      </c>
      <c r="G61" s="30" t="s">
        <v>1049</v>
      </c>
      <c r="H61" s="30" t="s">
        <v>92</v>
      </c>
      <c r="I61" s="192" t="str">
        <f>westonbrigls</f>
        <v>-</v>
      </c>
      <c r="J61" s="436" t="str">
        <f>westonbriatt</f>
        <v>-</v>
      </c>
      <c r="K61" s="358"/>
    </row>
    <row r="62" spans="1:11" ht="14.95" customHeight="1" thickBot="1" x14ac:dyDescent="0.3">
      <c r="A62" s="8" t="s">
        <v>1100</v>
      </c>
      <c r="B62" s="61" t="s">
        <v>83</v>
      </c>
      <c r="C62" s="9">
        <f>Fischettinortries</f>
        <v>2</v>
      </c>
      <c r="D62" s="21" t="s">
        <v>136</v>
      </c>
      <c r="E62" s="21" t="s">
        <v>80</v>
      </c>
      <c r="F62" s="19">
        <f>Thorleygloptscorrect</f>
        <v>15</v>
      </c>
      <c r="G62" s="30" t="s">
        <v>315</v>
      </c>
      <c r="H62" s="30" t="s">
        <v>544</v>
      </c>
      <c r="I62" s="192" t="str">
        <f>whiteleyleigls</f>
        <v>-</v>
      </c>
      <c r="J62" s="193" t="str">
        <f>whiteleyleiatt</f>
        <v>-</v>
      </c>
      <c r="K62" s="358"/>
    </row>
    <row r="63" spans="1:11" ht="14.95" customHeight="1" thickBot="1" x14ac:dyDescent="0.3">
      <c r="A63" s="8" t="s">
        <v>814</v>
      </c>
      <c r="B63" s="61" t="s">
        <v>82</v>
      </c>
      <c r="C63" s="48">
        <f>Greenbthtriescorrect</f>
        <v>2</v>
      </c>
      <c r="D63" s="21" t="s">
        <v>772</v>
      </c>
      <c r="E63" s="21" t="s">
        <v>322</v>
      </c>
      <c r="F63" s="19">
        <f>Tizardsarpts</f>
        <v>15</v>
      </c>
      <c r="G63" s="32" t="s">
        <v>666</v>
      </c>
      <c r="H63" s="30" t="s">
        <v>80</v>
      </c>
      <c r="I63" s="192" t="str">
        <f>Williamsglogls</f>
        <v>-</v>
      </c>
      <c r="J63" s="193" t="str">
        <f>williamsgloatt</f>
        <v>-</v>
      </c>
      <c r="K63" s="358"/>
    </row>
    <row r="64" spans="1:11" ht="14.95" customHeight="1" thickBot="1" x14ac:dyDescent="0.3">
      <c r="A64" s="9" t="s">
        <v>891</v>
      </c>
      <c r="B64" s="10" t="s">
        <v>82</v>
      </c>
      <c r="C64" s="9">
        <f>Griffinbthtries</f>
        <v>2</v>
      </c>
      <c r="D64" s="21" t="s">
        <v>336</v>
      </c>
      <c r="E64" s="21" t="s">
        <v>322</v>
      </c>
      <c r="F64" s="19">
        <f>Tompkinssarptscorrect2</f>
        <v>15</v>
      </c>
      <c r="G64" s="439" t="s">
        <v>1089</v>
      </c>
    </row>
    <row r="65" spans="1:6" ht="14.95" customHeight="1" thickBot="1" x14ac:dyDescent="0.3">
      <c r="A65" s="8" t="s">
        <v>298</v>
      </c>
      <c r="B65" s="61" t="s">
        <v>92</v>
      </c>
      <c r="C65" s="9">
        <f>Hardingbritries</f>
        <v>2</v>
      </c>
      <c r="D65" s="21" t="s">
        <v>138</v>
      </c>
      <c r="E65" s="21" t="s">
        <v>82</v>
      </c>
      <c r="F65" s="19">
        <f>Underhillbthpts</f>
        <v>15</v>
      </c>
    </row>
    <row r="66" spans="1:6" ht="14.95" customHeight="1" thickBot="1" x14ac:dyDescent="0.3">
      <c r="A66" s="8" t="s">
        <v>715</v>
      </c>
      <c r="B66" s="61" t="s">
        <v>917</v>
      </c>
      <c r="C66" s="9">
        <f>Hearlenewtries</f>
        <v>2</v>
      </c>
      <c r="D66" s="21" t="s">
        <v>538</v>
      </c>
      <c r="E66" s="21" t="s">
        <v>90</v>
      </c>
      <c r="F66" s="19">
        <f>Whittenpts</f>
        <v>15</v>
      </c>
    </row>
    <row r="67" spans="1:6" ht="14.95" customHeight="1" thickBot="1" x14ac:dyDescent="0.3">
      <c r="A67" s="9" t="s">
        <v>214</v>
      </c>
      <c r="B67" s="10" t="s">
        <v>544</v>
      </c>
      <c r="C67" s="9">
        <f>Harrisonsamtries</f>
        <v>2</v>
      </c>
      <c r="D67" s="21" t="s">
        <v>4</v>
      </c>
      <c r="E67" s="21" t="s">
        <v>322</v>
      </c>
      <c r="F67" s="19">
        <f>Penalty_Triessarptscorrect</f>
        <v>14</v>
      </c>
    </row>
    <row r="68" spans="1:6" ht="14.95" customHeight="1" thickBot="1" x14ac:dyDescent="0.3">
      <c r="A68" s="8" t="s">
        <v>793</v>
      </c>
      <c r="B68" s="61" t="s">
        <v>89</v>
      </c>
      <c r="C68" s="6">
        <f>Isgrohartries</f>
        <v>2</v>
      </c>
      <c r="D68" s="21" t="s">
        <v>293</v>
      </c>
      <c r="E68" s="21" t="s">
        <v>544</v>
      </c>
      <c r="F68" s="19">
        <f>BassettLEIpts</f>
        <v>13</v>
      </c>
    </row>
    <row r="69" spans="1:6" ht="14.95" customHeight="1" thickBot="1" x14ac:dyDescent="0.3">
      <c r="A69" s="8" t="s">
        <v>375</v>
      </c>
      <c r="B69" s="61" t="s">
        <v>80</v>
      </c>
      <c r="C69" s="9">
        <f>Krielglotries</f>
        <v>2</v>
      </c>
      <c r="D69" s="21" t="s">
        <v>211</v>
      </c>
      <c r="E69" s="21" t="s">
        <v>82</v>
      </c>
      <c r="F69" s="19">
        <f>Delmasbthpts</f>
        <v>12</v>
      </c>
    </row>
    <row r="70" spans="1:6" ht="14.95" customHeight="1" thickBot="1" x14ac:dyDescent="0.3">
      <c r="A70" s="8" t="s">
        <v>1043</v>
      </c>
      <c r="B70" s="61" t="s">
        <v>917</v>
      </c>
      <c r="C70" s="9">
        <f>Mafinrbtries</f>
        <v>2</v>
      </c>
      <c r="D70" s="21" t="s">
        <v>312</v>
      </c>
      <c r="E70" s="21" t="s">
        <v>82</v>
      </c>
      <c r="F70" s="19">
        <f>Buttbthpts</f>
        <v>10</v>
      </c>
    </row>
    <row r="71" spans="1:6" ht="14.95" customHeight="1" thickBot="1" x14ac:dyDescent="0.3">
      <c r="A71" s="8" t="s">
        <v>614</v>
      </c>
      <c r="B71" s="61" t="s">
        <v>92</v>
      </c>
      <c r="C71" s="9">
        <f>McNallylirtries</f>
        <v>2</v>
      </c>
      <c r="D71" s="357" t="s">
        <v>402</v>
      </c>
      <c r="E71" s="357" t="s">
        <v>89</v>
      </c>
      <c r="F71" s="19">
        <f>Cleavesharpts</f>
        <v>10</v>
      </c>
    </row>
    <row r="72" spans="1:6" ht="14.95" customHeight="1" thickBot="1" x14ac:dyDescent="0.3">
      <c r="A72" s="8" t="s">
        <v>567</v>
      </c>
      <c r="B72" s="61" t="s">
        <v>917</v>
      </c>
      <c r="C72" s="6">
        <f>McCallumnewtries</f>
        <v>2</v>
      </c>
      <c r="D72" s="21" t="s">
        <v>347</v>
      </c>
      <c r="E72" s="21" t="s">
        <v>80</v>
      </c>
      <c r="F72" s="19">
        <f>Coetzerglopts</f>
        <v>10</v>
      </c>
    </row>
    <row r="73" spans="1:6" ht="14.95" customHeight="1" thickBot="1" x14ac:dyDescent="0.3">
      <c r="A73" s="9" t="s">
        <v>509</v>
      </c>
      <c r="B73" s="61" t="s">
        <v>917</v>
      </c>
      <c r="C73" s="9">
        <f>McDonaldNEWtries</f>
        <v>2</v>
      </c>
      <c r="D73" s="19" t="s">
        <v>556</v>
      </c>
      <c r="E73" s="19" t="s">
        <v>81</v>
      </c>
      <c r="F73" s="19">
        <f>Cowan_Dickiesalpts</f>
        <v>10</v>
      </c>
    </row>
    <row r="74" spans="1:6" ht="14.95" customHeight="1" thickBot="1" x14ac:dyDescent="0.3">
      <c r="A74" s="8" t="s">
        <v>778</v>
      </c>
      <c r="B74" s="61" t="s">
        <v>83</v>
      </c>
      <c r="C74" s="9">
        <f>McParlandNORtries</f>
        <v>2</v>
      </c>
      <c r="D74" s="21" t="s">
        <v>377</v>
      </c>
      <c r="E74" s="21" t="s">
        <v>544</v>
      </c>
      <c r="F74" s="19">
        <f>Cracknellleipts</f>
        <v>10</v>
      </c>
    </row>
    <row r="75" spans="1:6" ht="14.95" customHeight="1" thickBot="1" x14ac:dyDescent="0.3">
      <c r="A75" s="8" t="s">
        <v>126</v>
      </c>
      <c r="B75" s="61" t="s">
        <v>83</v>
      </c>
      <c r="C75" s="9">
        <f>Mitchellnortries</f>
        <v>2</v>
      </c>
      <c r="D75" s="21" t="s">
        <v>481</v>
      </c>
      <c r="E75" s="21" t="s">
        <v>322</v>
      </c>
      <c r="F75" s="19">
        <f>Dansarpts</f>
        <v>10</v>
      </c>
    </row>
    <row r="76" spans="1:6" ht="14.95" customHeight="1" thickBot="1" x14ac:dyDescent="0.3">
      <c r="A76" s="9" t="s">
        <v>983</v>
      </c>
      <c r="B76" s="10" t="s">
        <v>544</v>
      </c>
      <c r="C76" s="9">
        <f>Mayleictries</f>
        <v>2</v>
      </c>
      <c r="D76" s="21" t="s">
        <v>111</v>
      </c>
      <c r="E76" s="21" t="s">
        <v>322</v>
      </c>
      <c r="F76" s="19">
        <f>Earlsarptscorrect</f>
        <v>10</v>
      </c>
    </row>
    <row r="77" spans="1:6" ht="14.95" customHeight="1" thickBot="1" x14ac:dyDescent="0.3">
      <c r="A77" s="8" t="s">
        <v>1096</v>
      </c>
      <c r="B77" s="61" t="s">
        <v>92</v>
      </c>
      <c r="C77" s="9">
        <f>MulchronelirtriesCORRECT</f>
        <v>2</v>
      </c>
      <c r="D77" s="21" t="s">
        <v>1100</v>
      </c>
      <c r="E77" s="21" t="s">
        <v>83</v>
      </c>
      <c r="F77" s="18">
        <f>Fischettinorpts</f>
        <v>10</v>
      </c>
    </row>
    <row r="78" spans="1:6" ht="14.95" customHeight="1" thickBot="1" x14ac:dyDescent="0.3">
      <c r="A78" s="8" t="s">
        <v>4</v>
      </c>
      <c r="B78" s="61" t="s">
        <v>322</v>
      </c>
      <c r="C78" s="9">
        <f>Penalty_Triessartriescorrect</f>
        <v>2</v>
      </c>
      <c r="D78" s="21" t="s">
        <v>814</v>
      </c>
      <c r="E78" s="21" t="s">
        <v>82</v>
      </c>
      <c r="F78" s="19">
        <f>Greenbthptscorrect</f>
        <v>10</v>
      </c>
    </row>
    <row r="79" spans="1:6" ht="14.95" customHeight="1" thickBot="1" x14ac:dyDescent="0.3">
      <c r="A79" s="8" t="s">
        <v>539</v>
      </c>
      <c r="B79" s="61" t="s">
        <v>89</v>
      </c>
      <c r="C79" s="9">
        <f>Porterhartries</f>
        <v>2</v>
      </c>
      <c r="D79" s="21" t="s">
        <v>891</v>
      </c>
      <c r="E79" s="21" t="s">
        <v>82</v>
      </c>
      <c r="F79" s="19">
        <f>Griffinbthpts</f>
        <v>10</v>
      </c>
    </row>
    <row r="80" spans="1:6" ht="14.95" customHeight="1" thickBot="1" x14ac:dyDescent="0.3">
      <c r="A80" s="8" t="s">
        <v>569</v>
      </c>
      <c r="B80" s="61" t="s">
        <v>80</v>
      </c>
      <c r="C80" s="9">
        <f>Reevesglotries</f>
        <v>2</v>
      </c>
      <c r="D80" s="21" t="s">
        <v>298</v>
      </c>
      <c r="E80" s="21" t="s">
        <v>92</v>
      </c>
      <c r="F80" s="19">
        <f>Hardingbripts</f>
        <v>10</v>
      </c>
    </row>
    <row r="81" spans="1:6" ht="14.95" customHeight="1" thickBot="1" x14ac:dyDescent="0.3">
      <c r="A81" s="8" t="s">
        <v>385</v>
      </c>
      <c r="B81" s="61" t="s">
        <v>82</v>
      </c>
      <c r="C81" s="9">
        <f>Richardsbthtries</f>
        <v>2</v>
      </c>
      <c r="D81" s="21" t="s">
        <v>715</v>
      </c>
      <c r="E81" s="21" t="s">
        <v>917</v>
      </c>
      <c r="F81" s="19">
        <f>Hearlenewpts</f>
        <v>10</v>
      </c>
    </row>
    <row r="82" spans="1:6" ht="14.95" customHeight="1" thickBot="1" x14ac:dyDescent="0.3">
      <c r="A82" s="8" t="s">
        <v>154</v>
      </c>
      <c r="B82" s="61" t="s">
        <v>90</v>
      </c>
      <c r="C82" s="9">
        <f>Skinner_Hexetries</f>
        <v>2</v>
      </c>
      <c r="D82" s="19" t="s">
        <v>214</v>
      </c>
      <c r="E82" s="19" t="s">
        <v>544</v>
      </c>
      <c r="F82" s="19">
        <f>Harrisonsampts</f>
        <v>10</v>
      </c>
    </row>
    <row r="83" spans="1:6" ht="14.95" customHeight="1" thickBot="1" x14ac:dyDescent="0.3">
      <c r="A83" s="8" t="s">
        <v>296</v>
      </c>
      <c r="B83" s="61" t="s">
        <v>83</v>
      </c>
      <c r="C83" s="9">
        <f>Tonksnortries</f>
        <v>2</v>
      </c>
      <c r="D83" s="438" t="s">
        <v>793</v>
      </c>
      <c r="E83" s="438" t="s">
        <v>89</v>
      </c>
      <c r="F83" s="18">
        <f>Isgroharpts</f>
        <v>10</v>
      </c>
    </row>
    <row r="84" spans="1:6" ht="14.95" customHeight="1" thickBot="1" x14ac:dyDescent="0.3">
      <c r="A84" s="8" t="s">
        <v>403</v>
      </c>
      <c r="B84" s="8" t="s">
        <v>80</v>
      </c>
      <c r="C84" s="9">
        <f>Thomasglotries</f>
        <v>2</v>
      </c>
      <c r="D84" s="21" t="s">
        <v>375</v>
      </c>
      <c r="E84" s="21" t="s">
        <v>80</v>
      </c>
      <c r="F84" s="19">
        <f>Krielglopts</f>
        <v>10</v>
      </c>
    </row>
    <row r="85" spans="1:6" ht="14.95" customHeight="1" thickBot="1" x14ac:dyDescent="0.3">
      <c r="A85" s="8" t="s">
        <v>1087</v>
      </c>
      <c r="B85" s="8" t="s">
        <v>544</v>
      </c>
      <c r="C85" s="9">
        <f>Thompsonleitries</f>
        <v>2</v>
      </c>
      <c r="D85" s="21" t="s">
        <v>1043</v>
      </c>
      <c r="E85" s="21" t="s">
        <v>917</v>
      </c>
      <c r="F85" s="19">
        <f>Mafinrbpts</f>
        <v>10</v>
      </c>
    </row>
    <row r="86" spans="1:6" ht="14.95" customHeight="1" thickBot="1" x14ac:dyDescent="0.3">
      <c r="A86" s="8" t="s">
        <v>972</v>
      </c>
      <c r="B86" s="8" t="s">
        <v>83</v>
      </c>
      <c r="C86" s="9">
        <f>van_der_Meschtnortries</f>
        <v>2</v>
      </c>
      <c r="D86" s="21" t="s">
        <v>614</v>
      </c>
      <c r="E86" s="21" t="s">
        <v>92</v>
      </c>
      <c r="F86" s="19">
        <f>McNallylirpts</f>
        <v>10</v>
      </c>
    </row>
    <row r="87" spans="1:6" ht="14.95" customHeight="1" thickBot="1" x14ac:dyDescent="0.3">
      <c r="A87" s="9" t="s">
        <v>283</v>
      </c>
      <c r="B87" s="9" t="s">
        <v>544</v>
      </c>
      <c r="C87" s="9">
        <f>van_Poortvlietleictries</f>
        <v>2</v>
      </c>
      <c r="D87" s="21" t="s">
        <v>567</v>
      </c>
      <c r="E87" s="21" t="s">
        <v>917</v>
      </c>
      <c r="F87" s="19">
        <f>McCallumnewpts</f>
        <v>10</v>
      </c>
    </row>
    <row r="88" spans="1:6" ht="14.95" customHeight="1" thickBot="1" x14ac:dyDescent="0.3">
      <c r="A88" s="8" t="s">
        <v>747</v>
      </c>
      <c r="B88" s="8" t="s">
        <v>81</v>
      </c>
      <c r="C88" s="9">
        <f>Tuitupousamtries</f>
        <v>2</v>
      </c>
      <c r="D88" s="21" t="s">
        <v>509</v>
      </c>
      <c r="E88" s="21" t="s">
        <v>917</v>
      </c>
      <c r="F88" s="19">
        <f>McDonaldNEWpts</f>
        <v>10</v>
      </c>
    </row>
    <row r="89" spans="1:6" ht="14.95" customHeight="1" thickBot="1" x14ac:dyDescent="0.3">
      <c r="A89" s="8" t="s">
        <v>209</v>
      </c>
      <c r="B89" s="8" t="s">
        <v>90</v>
      </c>
      <c r="C89" s="9">
        <f>van_der_Sluysexetries</f>
        <v>2</v>
      </c>
      <c r="D89" s="21" t="s">
        <v>778</v>
      </c>
      <c r="E89" s="21" t="s">
        <v>83</v>
      </c>
      <c r="F89" s="19">
        <f>McParlandNORpts</f>
        <v>10</v>
      </c>
    </row>
    <row r="90" spans="1:6" ht="14.95" customHeight="1" thickBot="1" x14ac:dyDescent="0.3">
      <c r="A90" s="8" t="s">
        <v>1036</v>
      </c>
      <c r="B90" s="8" t="s">
        <v>80</v>
      </c>
      <c r="C90" s="9">
        <f>Wardglotries</f>
        <v>2</v>
      </c>
      <c r="D90" s="21" t="s">
        <v>126</v>
      </c>
      <c r="E90" s="21" t="s">
        <v>83</v>
      </c>
      <c r="F90" s="19">
        <f>Mitchellnorpts</f>
        <v>10</v>
      </c>
    </row>
    <row r="91" spans="1:6" ht="14.95" customHeight="1" thickBot="1" x14ac:dyDescent="0.3">
      <c r="A91" s="8" t="s">
        <v>180</v>
      </c>
      <c r="B91" s="9" t="s">
        <v>81</v>
      </c>
      <c r="C91" s="9">
        <f>Vermeulensaltries</f>
        <v>2</v>
      </c>
      <c r="D91" s="21" t="s">
        <v>983</v>
      </c>
      <c r="E91" s="21" t="s">
        <v>544</v>
      </c>
      <c r="F91" s="19">
        <f>Mayleicpts</f>
        <v>10</v>
      </c>
    </row>
    <row r="92" spans="1:6" ht="14.95" customHeight="1" thickBot="1" x14ac:dyDescent="0.3">
      <c r="A92" s="8" t="s">
        <v>678</v>
      </c>
      <c r="B92" s="9" t="s">
        <v>544</v>
      </c>
      <c r="C92" s="9">
        <f>Walshleitries</f>
        <v>2</v>
      </c>
      <c r="D92" s="21" t="s">
        <v>1096</v>
      </c>
      <c r="E92" s="21" t="s">
        <v>92</v>
      </c>
      <c r="F92" s="19">
        <f>Geraghtypts</f>
        <v>10</v>
      </c>
    </row>
    <row r="93" spans="1:6" ht="14.95" customHeight="1" thickBot="1" x14ac:dyDescent="0.3">
      <c r="A93" s="8" t="s">
        <v>315</v>
      </c>
      <c r="B93" s="9" t="s">
        <v>544</v>
      </c>
      <c r="C93" s="9">
        <f>WhiteleyLEItries</f>
        <v>2</v>
      </c>
      <c r="D93" s="21" t="s">
        <v>539</v>
      </c>
      <c r="E93" s="21" t="s">
        <v>89</v>
      </c>
      <c r="F93" s="19">
        <f>Porterharpts</f>
        <v>10</v>
      </c>
    </row>
    <row r="94" spans="1:6" ht="14.95" customHeight="1" thickBot="1" x14ac:dyDescent="0.3">
      <c r="A94" s="8" t="s">
        <v>754</v>
      </c>
      <c r="B94" s="8" t="s">
        <v>81</v>
      </c>
      <c r="C94" s="9">
        <f>Webbersaltries</f>
        <v>2</v>
      </c>
      <c r="D94" s="21" t="s">
        <v>569</v>
      </c>
      <c r="E94" s="21" t="s">
        <v>80</v>
      </c>
      <c r="F94" s="19">
        <f>Reevesglopts</f>
        <v>10</v>
      </c>
    </row>
    <row r="95" spans="1:6" ht="14.95" customHeight="1" thickBot="1" x14ac:dyDescent="0.3">
      <c r="A95" s="8" t="s">
        <v>141</v>
      </c>
      <c r="B95" s="8" t="s">
        <v>90</v>
      </c>
      <c r="C95" s="9">
        <f>Woodburnexetries</f>
        <v>2</v>
      </c>
      <c r="D95" s="21" t="s">
        <v>385</v>
      </c>
      <c r="E95" s="21" t="s">
        <v>82</v>
      </c>
      <c r="F95" s="19">
        <f>Richardsbthpts</f>
        <v>10</v>
      </c>
    </row>
    <row r="96" spans="1:6" ht="14.95" customHeight="1" thickBot="1" x14ac:dyDescent="0.3">
      <c r="A96" s="8" t="s">
        <v>143</v>
      </c>
      <c r="B96" s="8" t="s">
        <v>90</v>
      </c>
      <c r="C96" s="9">
        <f>Yeandlejacktries</f>
        <v>2</v>
      </c>
      <c r="D96" s="21" t="s">
        <v>154</v>
      </c>
      <c r="E96" s="21" t="s">
        <v>90</v>
      </c>
      <c r="F96" s="19">
        <f>Skinner_Hexepts</f>
        <v>10</v>
      </c>
    </row>
    <row r="97" spans="1:6" ht="14.95" customHeight="1" thickBot="1" x14ac:dyDescent="0.3">
      <c r="A97" s="8" t="s">
        <v>225</v>
      </c>
      <c r="B97" s="8" t="s">
        <v>80</v>
      </c>
      <c r="C97" s="48">
        <f>Alemannoglotries</f>
        <v>1</v>
      </c>
      <c r="D97" s="21" t="s">
        <v>403</v>
      </c>
      <c r="E97" s="21" t="s">
        <v>80</v>
      </c>
      <c r="F97" s="19">
        <f>Thomasglopts</f>
        <v>10</v>
      </c>
    </row>
    <row r="98" spans="1:6" ht="14.95" customHeight="1" thickBot="1" x14ac:dyDescent="0.3">
      <c r="A98" s="9" t="s">
        <v>749</v>
      </c>
      <c r="B98" s="9" t="s">
        <v>81</v>
      </c>
      <c r="C98" s="9">
        <f>Andrewssaltries</f>
        <v>1</v>
      </c>
      <c r="D98" s="21" t="s">
        <v>1087</v>
      </c>
      <c r="E98" s="21" t="s">
        <v>544</v>
      </c>
      <c r="F98" s="19">
        <f>Thompsonleipts</f>
        <v>10</v>
      </c>
    </row>
    <row r="99" spans="1:6" ht="14.95" customHeight="1" thickBot="1" x14ac:dyDescent="0.3">
      <c r="A99" s="8" t="s">
        <v>1099</v>
      </c>
      <c r="B99" s="8" t="s">
        <v>80</v>
      </c>
      <c r="C99" s="9">
        <f>Austinglotries</f>
        <v>1</v>
      </c>
      <c r="D99" s="21" t="s">
        <v>972</v>
      </c>
      <c r="E99" s="21" t="s">
        <v>83</v>
      </c>
      <c r="F99" s="19">
        <f>van_der_Meschtnorpts</f>
        <v>10</v>
      </c>
    </row>
    <row r="100" spans="1:6" ht="14.95" customHeight="1" thickBot="1" x14ac:dyDescent="0.3">
      <c r="A100" s="8" t="s">
        <v>293</v>
      </c>
      <c r="B100" s="9" t="s">
        <v>544</v>
      </c>
      <c r="C100" s="9">
        <f>BassettLEItries</f>
        <v>1</v>
      </c>
      <c r="D100" s="21" t="s">
        <v>283</v>
      </c>
      <c r="E100" s="21" t="s">
        <v>544</v>
      </c>
      <c r="F100" s="19">
        <f>van_Poortvlietleicpts</f>
        <v>10</v>
      </c>
    </row>
    <row r="101" spans="1:6" ht="14.95" customHeight="1" thickBot="1" x14ac:dyDescent="0.3">
      <c r="A101" s="8" t="s">
        <v>521</v>
      </c>
      <c r="B101" s="8" t="s">
        <v>82</v>
      </c>
      <c r="C101" s="9">
        <f>Barbearybthtries</f>
        <v>1</v>
      </c>
      <c r="D101" s="21" t="s">
        <v>747</v>
      </c>
      <c r="E101" s="21" t="s">
        <v>81</v>
      </c>
      <c r="F101" s="19">
        <f>Tuitupousampts</f>
        <v>10</v>
      </c>
    </row>
    <row r="102" spans="1:6" ht="14.95" customHeight="1" thickBot="1" x14ac:dyDescent="0.3">
      <c r="A102" s="8" t="s">
        <v>295</v>
      </c>
      <c r="B102" s="8" t="s">
        <v>92</v>
      </c>
      <c r="C102" s="9">
        <f>Batleybritriescorrect</f>
        <v>1</v>
      </c>
      <c r="D102" s="21" t="s">
        <v>209</v>
      </c>
      <c r="E102" s="21" t="s">
        <v>90</v>
      </c>
      <c r="F102" s="19">
        <f>van_der_Sluysexepts</f>
        <v>10</v>
      </c>
    </row>
    <row r="103" spans="1:6" ht="14.95" customHeight="1" thickBot="1" x14ac:dyDescent="0.3">
      <c r="A103" s="8" t="s">
        <v>379</v>
      </c>
      <c r="B103" s="8" t="s">
        <v>80</v>
      </c>
      <c r="C103" s="9">
        <f>Blakeglotries</f>
        <v>1</v>
      </c>
      <c r="D103" s="21" t="s">
        <v>1036</v>
      </c>
      <c r="E103" s="21" t="s">
        <v>80</v>
      </c>
      <c r="F103" s="19">
        <f>Wardglopts</f>
        <v>10</v>
      </c>
    </row>
    <row r="104" spans="1:6" ht="14.95" customHeight="1" thickBot="1" x14ac:dyDescent="0.3">
      <c r="A104" s="298" t="s">
        <v>249</v>
      </c>
      <c r="B104" s="298" t="s">
        <v>247</v>
      </c>
      <c r="C104" s="6">
        <f>Barrittbradtries</f>
        <v>1</v>
      </c>
      <c r="D104" s="21" t="s">
        <v>180</v>
      </c>
      <c r="E104" s="21" t="s">
        <v>81</v>
      </c>
      <c r="F104" s="19">
        <f>Vermeulensalpts</f>
        <v>10</v>
      </c>
    </row>
    <row r="105" spans="1:6" ht="14.95" customHeight="1" thickBot="1" x14ac:dyDescent="0.3">
      <c r="A105" s="8" t="s">
        <v>629</v>
      </c>
      <c r="B105" s="8" t="s">
        <v>92</v>
      </c>
      <c r="C105" s="9">
        <f>bedlowbritries</f>
        <v>1</v>
      </c>
      <c r="D105" s="21" t="s">
        <v>678</v>
      </c>
      <c r="E105" s="21" t="s">
        <v>544</v>
      </c>
      <c r="F105" s="18">
        <f>Walshleipts</f>
        <v>10</v>
      </c>
    </row>
    <row r="106" spans="1:6" ht="14.95" customHeight="1" thickBot="1" x14ac:dyDescent="0.3">
      <c r="A106" s="8" t="s">
        <v>895</v>
      </c>
      <c r="B106" s="8" t="s">
        <v>322</v>
      </c>
      <c r="C106" s="9">
        <f>Bracken_CSARTRIES</f>
        <v>1</v>
      </c>
      <c r="D106" s="21" t="s">
        <v>315</v>
      </c>
      <c r="E106" s="21" t="s">
        <v>544</v>
      </c>
      <c r="F106" s="20">
        <f>WhiteleyLEIpts</f>
        <v>10</v>
      </c>
    </row>
    <row r="107" spans="1:6" ht="14.95" customHeight="1" thickBot="1" x14ac:dyDescent="0.3">
      <c r="A107" s="8" t="s">
        <v>790</v>
      </c>
      <c r="B107" s="8" t="s">
        <v>90</v>
      </c>
      <c r="C107" s="9">
        <f>Brown_Bampoeexetries</f>
        <v>1</v>
      </c>
      <c r="D107" s="2" t="s">
        <v>754</v>
      </c>
      <c r="E107" s="2" t="s">
        <v>81</v>
      </c>
      <c r="F107" s="19">
        <f>Webbersalpts</f>
        <v>10</v>
      </c>
    </row>
    <row r="108" spans="1:6" ht="14.95" customHeight="1" thickBot="1" x14ac:dyDescent="0.3">
      <c r="A108" s="9" t="s">
        <v>399</v>
      </c>
      <c r="B108" s="9" t="s">
        <v>81</v>
      </c>
      <c r="C108" s="9">
        <f>Carpentersaltries</f>
        <v>1</v>
      </c>
      <c r="D108" s="2" t="s">
        <v>141</v>
      </c>
      <c r="E108" s="2" t="s">
        <v>90</v>
      </c>
      <c r="F108" s="19">
        <f>Woodburnexepts</f>
        <v>10</v>
      </c>
    </row>
    <row r="109" spans="1:6" ht="14.95" customHeight="1" thickBot="1" x14ac:dyDescent="0.3">
      <c r="A109" s="61" t="s">
        <v>767</v>
      </c>
      <c r="B109" s="61" t="s">
        <v>322</v>
      </c>
      <c r="C109" s="9">
        <f>Carresartries</f>
        <v>1</v>
      </c>
      <c r="D109" s="2" t="s">
        <v>143</v>
      </c>
      <c r="E109" s="2" t="s">
        <v>90</v>
      </c>
      <c r="F109" s="19">
        <f>Yeandlejackpts</f>
        <v>10</v>
      </c>
    </row>
    <row r="110" spans="1:6" ht="14.95" customHeight="1" thickBot="1" x14ac:dyDescent="0.3">
      <c r="A110" s="61" t="s">
        <v>280</v>
      </c>
      <c r="B110" s="61" t="s">
        <v>82</v>
      </c>
      <c r="C110" s="9">
        <f>Carrerasbthtries</f>
        <v>1</v>
      </c>
      <c r="D110" s="2" t="s">
        <v>84</v>
      </c>
      <c r="E110" s="2" t="s">
        <v>544</v>
      </c>
      <c r="F110" s="18">
        <f>leicspentriespts</f>
        <v>7</v>
      </c>
    </row>
    <row r="111" spans="1:6" ht="14.95" customHeight="1" thickBot="1" x14ac:dyDescent="0.3">
      <c r="A111" s="61" t="s">
        <v>935</v>
      </c>
      <c r="B111" s="61" t="s">
        <v>92</v>
      </c>
      <c r="C111" s="9">
        <f>CaulfieldBRItries</f>
        <v>1</v>
      </c>
      <c r="D111" s="2" t="s">
        <v>187</v>
      </c>
      <c r="E111" s="2" t="s">
        <v>92</v>
      </c>
      <c r="F111" s="19">
        <f>Williamsbripts</f>
        <v>6</v>
      </c>
    </row>
    <row r="112" spans="1:6" ht="14.95" customHeight="1" thickBot="1" x14ac:dyDescent="0.3">
      <c r="A112" s="12" t="s">
        <v>290</v>
      </c>
      <c r="B112" s="10" t="s">
        <v>544</v>
      </c>
      <c r="C112" s="6">
        <f>Chessumleictries</f>
        <v>1</v>
      </c>
      <c r="D112" s="2" t="s">
        <v>225</v>
      </c>
      <c r="E112" s="2" t="s">
        <v>80</v>
      </c>
      <c r="F112" s="16">
        <f>Alemannoglopts</f>
        <v>5</v>
      </c>
    </row>
    <row r="113" spans="1:6" ht="14.95" customHeight="1" thickBot="1" x14ac:dyDescent="0.3">
      <c r="A113" s="61" t="s">
        <v>1092</v>
      </c>
      <c r="B113" s="10" t="s">
        <v>917</v>
      </c>
      <c r="C113" s="48">
        <f>Christienrbtries</f>
        <v>1</v>
      </c>
      <c r="D113" s="2" t="s">
        <v>749</v>
      </c>
      <c r="E113" s="2" t="s">
        <v>81</v>
      </c>
      <c r="F113" s="16">
        <f>Andrewssalpts</f>
        <v>5</v>
      </c>
    </row>
    <row r="114" spans="1:6" ht="14.95" customHeight="1" thickBot="1" x14ac:dyDescent="0.3">
      <c r="A114" s="61" t="s">
        <v>444</v>
      </c>
      <c r="B114" s="61" t="s">
        <v>80</v>
      </c>
      <c r="C114" s="9">
        <f>Clarkglotries</f>
        <v>1</v>
      </c>
      <c r="D114" s="2" t="s">
        <v>1099</v>
      </c>
      <c r="E114" s="2" t="s">
        <v>80</v>
      </c>
      <c r="F114" s="16">
        <f>Austinglopts</f>
        <v>5</v>
      </c>
    </row>
    <row r="115" spans="1:6" ht="14.95" customHeight="1" thickBot="1" x14ac:dyDescent="0.3">
      <c r="A115" s="61" t="s">
        <v>850</v>
      </c>
      <c r="B115" s="61" t="s">
        <v>917</v>
      </c>
      <c r="C115" s="9">
        <f>Clarknewtries</f>
        <v>1</v>
      </c>
      <c r="D115" s="2" t="s">
        <v>521</v>
      </c>
      <c r="E115" s="2" t="s">
        <v>82</v>
      </c>
      <c r="F115" s="16">
        <f>Barbearybthpts</f>
        <v>5</v>
      </c>
    </row>
    <row r="116" spans="1:6" ht="14.95" customHeight="1" thickBot="1" x14ac:dyDescent="0.3">
      <c r="A116" s="61" t="s">
        <v>1044</v>
      </c>
      <c r="B116" s="61" t="s">
        <v>917</v>
      </c>
      <c r="C116" s="9">
        <f>Coetzeenrbtries</f>
        <v>1</v>
      </c>
      <c r="D116" s="17" t="s">
        <v>295</v>
      </c>
      <c r="E116" s="17" t="s">
        <v>92</v>
      </c>
      <c r="F116" s="16">
        <f>Batleybriptscorrect</f>
        <v>5</v>
      </c>
    </row>
    <row r="117" spans="1:6" ht="14.95" customHeight="1" thickBot="1" x14ac:dyDescent="0.3">
      <c r="A117" s="61" t="s">
        <v>108</v>
      </c>
      <c r="B117" s="61" t="s">
        <v>82</v>
      </c>
      <c r="C117" s="9">
        <f>Cokanasigabthtries</f>
        <v>1</v>
      </c>
      <c r="D117" s="2" t="s">
        <v>379</v>
      </c>
      <c r="E117" s="2" t="s">
        <v>80</v>
      </c>
      <c r="F117" s="16">
        <f>Blakeglopts</f>
        <v>5</v>
      </c>
    </row>
    <row r="118" spans="1:6" ht="14.95" customHeight="1" thickBot="1" x14ac:dyDescent="0.3">
      <c r="A118" s="61" t="s">
        <v>909</v>
      </c>
      <c r="B118" s="61" t="s">
        <v>80</v>
      </c>
      <c r="C118" s="9">
        <f>Edwards_Giraudglotries</f>
        <v>1</v>
      </c>
      <c r="D118" s="201" t="s">
        <v>249</v>
      </c>
      <c r="E118" s="201" t="s">
        <v>247</v>
      </c>
      <c r="F118" s="16">
        <f>Barrittbradpts</f>
        <v>5</v>
      </c>
    </row>
    <row r="119" spans="1:6" ht="14.95" customHeight="1" thickBot="1" x14ac:dyDescent="0.3">
      <c r="A119" s="10" t="s">
        <v>659</v>
      </c>
      <c r="B119" s="61" t="s">
        <v>80</v>
      </c>
      <c r="C119" s="9">
        <f>Evans_Lglotries</f>
        <v>1</v>
      </c>
      <c r="D119" s="2" t="s">
        <v>629</v>
      </c>
      <c r="E119" s="2" t="s">
        <v>92</v>
      </c>
      <c r="F119" s="16">
        <f>Bedlowbripts</f>
        <v>5</v>
      </c>
    </row>
    <row r="120" spans="1:6" ht="14.95" customHeight="1" thickBot="1" x14ac:dyDescent="0.3">
      <c r="A120" s="61" t="s">
        <v>114</v>
      </c>
      <c r="B120" s="61" t="s">
        <v>83</v>
      </c>
      <c r="C120" s="9">
        <f>Furbanknortriescorrect</f>
        <v>1</v>
      </c>
      <c r="D120" s="2" t="s">
        <v>895</v>
      </c>
      <c r="E120" s="2" t="s">
        <v>322</v>
      </c>
      <c r="F120" s="16">
        <f>Bracken_CSARPTS</f>
        <v>5</v>
      </c>
    </row>
    <row r="121" spans="1:6" ht="14.95" customHeight="1" thickBot="1" x14ac:dyDescent="0.3">
      <c r="A121" s="61" t="s">
        <v>115</v>
      </c>
      <c r="B121" s="61" t="s">
        <v>92</v>
      </c>
      <c r="C121" s="9">
        <f>Frischbritries</f>
        <v>1</v>
      </c>
      <c r="D121" s="2" t="s">
        <v>790</v>
      </c>
      <c r="E121" s="2" t="s">
        <v>90</v>
      </c>
      <c r="F121" s="16">
        <f>Brown_Bampoeexepts</f>
        <v>5</v>
      </c>
    </row>
    <row r="122" spans="1:6" ht="14.95" customHeight="1" thickBot="1" x14ac:dyDescent="0.3">
      <c r="A122" s="61" t="s">
        <v>788</v>
      </c>
      <c r="B122" s="61" t="s">
        <v>917</v>
      </c>
      <c r="C122" s="9">
        <f>Graysonnewtries</f>
        <v>1</v>
      </c>
      <c r="D122" s="17" t="s">
        <v>399</v>
      </c>
      <c r="E122" s="2" t="s">
        <v>81</v>
      </c>
      <c r="F122" s="16">
        <f>Carpentersalpts</f>
        <v>5</v>
      </c>
    </row>
    <row r="123" spans="1:6" ht="14.95" customHeight="1" thickBot="1" x14ac:dyDescent="0.3">
      <c r="A123" s="61" t="s">
        <v>624</v>
      </c>
      <c r="B123" s="61" t="s">
        <v>92</v>
      </c>
      <c r="C123" s="48">
        <f>Grondona_Sbritries</f>
        <v>1</v>
      </c>
      <c r="D123" s="2" t="s">
        <v>767</v>
      </c>
      <c r="E123" s="2" t="s">
        <v>322</v>
      </c>
      <c r="F123" s="16">
        <f>Carresarpts</f>
        <v>5</v>
      </c>
    </row>
    <row r="124" spans="1:6" ht="14.95" customHeight="1" thickBot="1" x14ac:dyDescent="0.3">
      <c r="A124" s="61" t="s">
        <v>499</v>
      </c>
      <c r="B124" s="61" t="s">
        <v>90</v>
      </c>
      <c r="C124" s="9">
        <f>HammersleyEXEtries</f>
        <v>1</v>
      </c>
      <c r="D124" s="2" t="s">
        <v>935</v>
      </c>
      <c r="E124" s="2" t="s">
        <v>92</v>
      </c>
      <c r="F124" s="16">
        <f>CaulfieldBRIpts</f>
        <v>5</v>
      </c>
    </row>
    <row r="125" spans="1:6" ht="14.95" customHeight="1" thickBot="1" x14ac:dyDescent="0.3">
      <c r="A125" s="61" t="s">
        <v>530</v>
      </c>
      <c r="B125" s="10" t="s">
        <v>544</v>
      </c>
      <c r="C125" s="9">
        <f>Hassell_CollinsLEItries</f>
        <v>1</v>
      </c>
      <c r="D125" s="2" t="s">
        <v>290</v>
      </c>
      <c r="E125" s="2" t="s">
        <v>544</v>
      </c>
      <c r="F125" s="16">
        <f>Chessumleicpts</f>
        <v>5</v>
      </c>
    </row>
    <row r="126" spans="1:6" ht="14.95" customHeight="1" thickBot="1" x14ac:dyDescent="0.3">
      <c r="A126" s="61" t="s">
        <v>600</v>
      </c>
      <c r="B126" s="61" t="s">
        <v>80</v>
      </c>
      <c r="C126" s="9">
        <f>HathawayGLOtries</f>
        <v>1</v>
      </c>
      <c r="D126" s="17" t="s">
        <v>1092</v>
      </c>
      <c r="E126" s="17" t="s">
        <v>917</v>
      </c>
      <c r="F126" s="454">
        <f>Christienrbpts</f>
        <v>5</v>
      </c>
    </row>
    <row r="127" spans="1:6" ht="14.95" customHeight="1" thickBot="1" x14ac:dyDescent="0.3">
      <c r="A127" s="61" t="s">
        <v>482</v>
      </c>
      <c r="B127" s="61" t="s">
        <v>92</v>
      </c>
      <c r="C127" s="9">
        <f>Hewardbritries</f>
        <v>1</v>
      </c>
      <c r="D127" s="2" t="s">
        <v>444</v>
      </c>
      <c r="E127" s="2" t="s">
        <v>80</v>
      </c>
      <c r="F127" s="16">
        <f>Clarkglopts</f>
        <v>5</v>
      </c>
    </row>
    <row r="128" spans="1:6" ht="14.95" customHeight="1" thickBot="1" x14ac:dyDescent="0.3">
      <c r="A128" s="61" t="s">
        <v>246</v>
      </c>
      <c r="B128" s="10" t="s">
        <v>544</v>
      </c>
      <c r="C128" s="9">
        <f>Holmesleictries</f>
        <v>1</v>
      </c>
      <c r="D128" s="2" t="s">
        <v>850</v>
      </c>
      <c r="E128" s="2" t="s">
        <v>917</v>
      </c>
      <c r="F128" s="16">
        <f>Clarknewpts</f>
        <v>5</v>
      </c>
    </row>
    <row r="129" spans="1:6" ht="14.95" customHeight="1" thickBot="1" x14ac:dyDescent="0.3">
      <c r="A129" s="10" t="s">
        <v>147</v>
      </c>
      <c r="B129" s="10" t="s">
        <v>82</v>
      </c>
      <c r="C129" s="9">
        <f>Hillbthtries</f>
        <v>1</v>
      </c>
      <c r="D129" s="2" t="s">
        <v>1044</v>
      </c>
      <c r="E129" s="2" t="s">
        <v>917</v>
      </c>
      <c r="F129" s="16">
        <f>Coetzeenrbpts</f>
        <v>5</v>
      </c>
    </row>
    <row r="130" spans="1:6" ht="14.95" customHeight="1" thickBot="1" x14ac:dyDescent="0.3">
      <c r="A130" s="61" t="s">
        <v>470</v>
      </c>
      <c r="B130" s="61" t="s">
        <v>92</v>
      </c>
      <c r="C130" s="9">
        <f>Hughesbritries</f>
        <v>1</v>
      </c>
      <c r="D130" s="2" t="s">
        <v>108</v>
      </c>
      <c r="E130" s="2" t="s">
        <v>82</v>
      </c>
      <c r="F130" s="16">
        <f>Cokanasigabthpts</f>
        <v>5</v>
      </c>
    </row>
    <row r="131" spans="1:6" ht="14.95" customHeight="1" thickBot="1" x14ac:dyDescent="0.3">
      <c r="A131" s="61" t="s">
        <v>422</v>
      </c>
      <c r="B131" s="10" t="s">
        <v>544</v>
      </c>
      <c r="C131" s="9">
        <f>Ilioneleitries</f>
        <v>1</v>
      </c>
      <c r="D131" s="2" t="s">
        <v>909</v>
      </c>
      <c r="E131" s="2" t="s">
        <v>80</v>
      </c>
      <c r="F131" s="16">
        <f>Edwards_Giraudglopts</f>
        <v>5</v>
      </c>
    </row>
    <row r="132" spans="1:6" ht="14.95" customHeight="1" thickBot="1" x14ac:dyDescent="0.3">
      <c r="A132" s="61" t="s">
        <v>268</v>
      </c>
      <c r="B132" s="61" t="s">
        <v>322</v>
      </c>
      <c r="C132" s="9">
        <f>Isiekwesartriescorrect</f>
        <v>1</v>
      </c>
      <c r="D132" s="17" t="s">
        <v>659</v>
      </c>
      <c r="E132" s="17" t="s">
        <v>80</v>
      </c>
      <c r="F132" s="16">
        <f>Evans_Lglopts</f>
        <v>5</v>
      </c>
    </row>
    <row r="133" spans="1:6" ht="14.95" customHeight="1" thickBot="1" x14ac:dyDescent="0.3">
      <c r="A133" s="61" t="s">
        <v>1088</v>
      </c>
      <c r="B133" s="61" t="s">
        <v>92</v>
      </c>
      <c r="C133" s="9">
        <f>Ivanishvilibritries</f>
        <v>1</v>
      </c>
      <c r="D133" s="2" t="s">
        <v>114</v>
      </c>
      <c r="E133" s="2" t="s">
        <v>83</v>
      </c>
      <c r="F133" s="449">
        <f>Furbanknorptscorrect</f>
        <v>5</v>
      </c>
    </row>
    <row r="134" spans="1:6" ht="14.95" customHeight="1" thickBot="1" x14ac:dyDescent="0.3">
      <c r="A134" s="61" t="s">
        <v>396</v>
      </c>
      <c r="B134" s="61" t="s">
        <v>322</v>
      </c>
      <c r="C134" s="9">
        <f>Jacksonsartries</f>
        <v>1</v>
      </c>
      <c r="D134" s="2" t="s">
        <v>115</v>
      </c>
      <c r="E134" s="2" t="s">
        <v>92</v>
      </c>
      <c r="F134" s="22">
        <f>Frischbripts</f>
        <v>5</v>
      </c>
    </row>
    <row r="135" spans="1:6" ht="14.95" customHeight="1" thickBot="1" x14ac:dyDescent="0.3">
      <c r="A135" s="61" t="s">
        <v>1031</v>
      </c>
      <c r="B135" s="61" t="s">
        <v>92</v>
      </c>
      <c r="C135" s="9">
        <f>JordanBRITRIES</f>
        <v>1</v>
      </c>
      <c r="D135" s="2" t="s">
        <v>788</v>
      </c>
      <c r="E135" s="2" t="s">
        <v>917</v>
      </c>
      <c r="F135" s="22">
        <f>Graysonnewpts</f>
        <v>5</v>
      </c>
    </row>
    <row r="136" spans="1:6" ht="14.95" customHeight="1" thickBot="1" x14ac:dyDescent="0.3">
      <c r="A136" s="61" t="s">
        <v>410</v>
      </c>
      <c r="B136" s="10" t="s">
        <v>544</v>
      </c>
      <c r="C136" s="9">
        <f>Jansenleitries</f>
        <v>1</v>
      </c>
      <c r="D136" s="2" t="s">
        <v>624</v>
      </c>
      <c r="E136" s="2" t="s">
        <v>92</v>
      </c>
      <c r="F136" s="22">
        <f>Grondona_Sbripts</f>
        <v>5</v>
      </c>
    </row>
    <row r="137" spans="1:6" ht="14.95" customHeight="1" thickBot="1" x14ac:dyDescent="0.3">
      <c r="A137" s="61" t="s">
        <v>786</v>
      </c>
      <c r="B137" s="61" t="s">
        <v>83</v>
      </c>
      <c r="C137" s="9">
        <f>Kemenynortries</f>
        <v>1</v>
      </c>
      <c r="D137" s="2" t="s">
        <v>499</v>
      </c>
      <c r="E137" s="2" t="s">
        <v>90</v>
      </c>
      <c r="F137" s="22">
        <f>HammersleyEXEpts</f>
        <v>5</v>
      </c>
    </row>
    <row r="138" spans="1:6" ht="14.95" customHeight="1" thickBot="1" x14ac:dyDescent="0.3">
      <c r="A138" s="61" t="s">
        <v>303</v>
      </c>
      <c r="B138" s="61" t="s">
        <v>89</v>
      </c>
      <c r="C138" s="9">
        <f>Kenninghamhartries</f>
        <v>1</v>
      </c>
      <c r="D138" s="2" t="s">
        <v>530</v>
      </c>
      <c r="E138" s="2" t="s">
        <v>544</v>
      </c>
      <c r="F138" s="449">
        <f>Hassell_CollinsLEIpts</f>
        <v>5</v>
      </c>
    </row>
    <row r="139" spans="1:6" ht="14.95" customHeight="1" thickBot="1" x14ac:dyDescent="0.3">
      <c r="A139" s="61" t="s">
        <v>1098</v>
      </c>
      <c r="B139" s="61" t="s">
        <v>80</v>
      </c>
      <c r="C139" s="9">
        <f>Knight_Cglotries</f>
        <v>1</v>
      </c>
      <c r="D139" s="2" t="s">
        <v>503</v>
      </c>
      <c r="E139" s="2" t="s">
        <v>80</v>
      </c>
      <c r="F139" s="22">
        <f>HathawayGLOpts</f>
        <v>5</v>
      </c>
    </row>
    <row r="140" spans="1:6" ht="14.95" customHeight="1" thickBot="1" x14ac:dyDescent="0.3">
      <c r="A140" s="61" t="s">
        <v>937</v>
      </c>
      <c r="B140" s="10" t="s">
        <v>80</v>
      </c>
      <c r="C140" s="9">
        <f>Knight_Wglotries</f>
        <v>1</v>
      </c>
      <c r="D140" s="2" t="s">
        <v>482</v>
      </c>
      <c r="E140" s="2" t="s">
        <v>92</v>
      </c>
      <c r="F140" s="23">
        <f>Hewardbripts</f>
        <v>5</v>
      </c>
    </row>
    <row r="141" spans="1:6" ht="14.95" customHeight="1" thickBot="1" x14ac:dyDescent="0.3">
      <c r="A141" s="61" t="s">
        <v>1040</v>
      </c>
      <c r="B141" s="61" t="s">
        <v>80</v>
      </c>
      <c r="C141" s="9">
        <f>Loaderglotries</f>
        <v>1</v>
      </c>
      <c r="D141" s="2" t="s">
        <v>246</v>
      </c>
      <c r="E141" s="2" t="s">
        <v>544</v>
      </c>
      <c r="F141" s="448">
        <f>Holmesleicpts</f>
        <v>5</v>
      </c>
    </row>
    <row r="142" spans="1:6" ht="14.95" customHeight="1" thickBot="1" x14ac:dyDescent="0.3">
      <c r="A142" s="61" t="s">
        <v>124</v>
      </c>
      <c r="B142" s="61" t="s">
        <v>80</v>
      </c>
      <c r="C142" s="9">
        <f>Ludlowglotries</f>
        <v>1</v>
      </c>
      <c r="D142" s="2" t="s">
        <v>147</v>
      </c>
      <c r="E142" s="2" t="s">
        <v>82</v>
      </c>
      <c r="F142" s="23">
        <f>Hillbthpts</f>
        <v>5</v>
      </c>
    </row>
    <row r="143" spans="1:6" ht="14.95" customHeight="1" thickBot="1" x14ac:dyDescent="0.3">
      <c r="A143" s="61" t="s">
        <v>741</v>
      </c>
      <c r="B143" s="61" t="s">
        <v>81</v>
      </c>
      <c r="C143" s="9">
        <f>Jamessaltries</f>
        <v>1</v>
      </c>
      <c r="D143" s="2" t="s">
        <v>470</v>
      </c>
      <c r="E143" s="2" t="s">
        <v>92</v>
      </c>
      <c r="F143" s="23">
        <f>Hughesbripts</f>
        <v>5</v>
      </c>
    </row>
    <row r="144" spans="1:6" ht="14.95" customHeight="1" thickBot="1" x14ac:dyDescent="0.3">
      <c r="A144" s="61" t="s">
        <v>166</v>
      </c>
      <c r="B144" s="61" t="s">
        <v>89</v>
      </c>
      <c r="C144" s="9">
        <f>Murleyhartries</f>
        <v>1</v>
      </c>
      <c r="D144" s="2" t="s">
        <v>422</v>
      </c>
      <c r="E144" s="2" t="s">
        <v>544</v>
      </c>
      <c r="F144" s="441">
        <f>Ilioneleipts</f>
        <v>5</v>
      </c>
    </row>
    <row r="145" spans="1:6" ht="14.95" customHeight="1" thickBot="1" x14ac:dyDescent="0.3">
      <c r="A145" s="61" t="s">
        <v>206</v>
      </c>
      <c r="B145" s="61" t="s">
        <v>89</v>
      </c>
      <c r="C145" s="9">
        <f>Northmorehartries</f>
        <v>1</v>
      </c>
      <c r="D145" s="2" t="s">
        <v>268</v>
      </c>
      <c r="E145" s="2" t="s">
        <v>322</v>
      </c>
      <c r="F145" s="23">
        <f>Isiekwesarptscorrect</f>
        <v>5</v>
      </c>
    </row>
    <row r="146" spans="1:6" ht="14.95" customHeight="1" thickBot="1" x14ac:dyDescent="0.3">
      <c r="A146" s="61" t="s">
        <v>332</v>
      </c>
      <c r="B146" s="61" t="s">
        <v>917</v>
      </c>
      <c r="C146" s="6">
        <f>Obatoyinbonewtries</f>
        <v>1</v>
      </c>
      <c r="D146" s="2" t="s">
        <v>1088</v>
      </c>
      <c r="E146" s="2" t="s">
        <v>92</v>
      </c>
      <c r="F146" s="23">
        <f>Ivanishvilibripts</f>
        <v>5</v>
      </c>
    </row>
    <row r="147" spans="1:6" ht="14.95" customHeight="1" thickBot="1" x14ac:dyDescent="0.3">
      <c r="A147" s="61" t="s">
        <v>353</v>
      </c>
      <c r="B147" s="61" t="s">
        <v>82</v>
      </c>
      <c r="C147" s="9">
        <f>OjomohBTHTRIES</f>
        <v>1</v>
      </c>
      <c r="D147" s="2" t="s">
        <v>396</v>
      </c>
      <c r="E147" s="2" t="s">
        <v>322</v>
      </c>
      <c r="F147" s="448">
        <f>Jacksonsarpts</f>
        <v>5</v>
      </c>
    </row>
    <row r="148" spans="1:6" ht="14.95" customHeight="1" thickBot="1" x14ac:dyDescent="0.3">
      <c r="A148" s="61" t="s">
        <v>1022</v>
      </c>
      <c r="B148" s="61" t="s">
        <v>322</v>
      </c>
      <c r="C148" s="9">
        <f>Moore_Aionosartries</f>
        <v>1</v>
      </c>
      <c r="D148" s="2" t="s">
        <v>410</v>
      </c>
      <c r="E148" s="2" t="s">
        <v>544</v>
      </c>
      <c r="F148" s="441">
        <f>Jansenleipts</f>
        <v>5</v>
      </c>
    </row>
    <row r="149" spans="1:6" ht="14.95" customHeight="1" thickBot="1" x14ac:dyDescent="0.3">
      <c r="A149" s="61" t="s">
        <v>497</v>
      </c>
      <c r="B149" s="61" t="s">
        <v>92</v>
      </c>
      <c r="C149" s="9">
        <f>OwenBRItries</f>
        <v>1</v>
      </c>
      <c r="D149" s="2" t="s">
        <v>786</v>
      </c>
      <c r="E149" s="2" t="s">
        <v>83</v>
      </c>
      <c r="F149" s="448">
        <f>Kemenynorpts</f>
        <v>5</v>
      </c>
    </row>
    <row r="150" spans="1:6" ht="14.95" customHeight="1" thickBot="1" x14ac:dyDescent="0.3">
      <c r="A150" s="12" t="s">
        <v>708</v>
      </c>
      <c r="B150" s="12" t="s">
        <v>917</v>
      </c>
      <c r="C150" s="6">
        <f>Palframannewtries</f>
        <v>1</v>
      </c>
      <c r="D150" s="2" t="s">
        <v>303</v>
      </c>
      <c r="E150" s="2" t="s">
        <v>89</v>
      </c>
      <c r="F150" s="23">
        <f>Kenninghamharpts</f>
        <v>5</v>
      </c>
    </row>
    <row r="151" spans="1:6" ht="14.95" customHeight="1" thickBot="1" x14ac:dyDescent="0.3">
      <c r="A151" s="61" t="s">
        <v>84</v>
      </c>
      <c r="B151" s="10" t="s">
        <v>544</v>
      </c>
      <c r="C151" s="9">
        <f>leicspentriestries</f>
        <v>1</v>
      </c>
      <c r="D151" s="2" t="s">
        <v>1098</v>
      </c>
      <c r="E151" s="2" t="s">
        <v>80</v>
      </c>
      <c r="F151" s="23">
        <f>Knight_Cglopts</f>
        <v>5</v>
      </c>
    </row>
    <row r="152" spans="1:6" ht="14.95" customHeight="1" thickBot="1" x14ac:dyDescent="0.3">
      <c r="A152" s="61" t="s">
        <v>457</v>
      </c>
      <c r="B152" s="61" t="s">
        <v>82</v>
      </c>
      <c r="C152" s="9">
        <f>Pepperbthtries</f>
        <v>1</v>
      </c>
      <c r="D152" s="2" t="s">
        <v>937</v>
      </c>
      <c r="E152" s="2" t="s">
        <v>80</v>
      </c>
      <c r="F152" s="23">
        <f>Knight_Wglopts</f>
        <v>5</v>
      </c>
    </row>
    <row r="153" spans="1:6" ht="14.95" customHeight="1" thickBot="1" x14ac:dyDescent="0.3">
      <c r="A153" s="61" t="s">
        <v>300</v>
      </c>
      <c r="B153" s="61" t="s">
        <v>81</v>
      </c>
      <c r="C153" s="9">
        <f>Quirkesaltries</f>
        <v>1</v>
      </c>
      <c r="D153" s="2" t="s">
        <v>1040</v>
      </c>
      <c r="E153" s="2" t="s">
        <v>80</v>
      </c>
      <c r="F153" s="23">
        <f>Loaderglopts</f>
        <v>5</v>
      </c>
    </row>
    <row r="154" spans="1:6" ht="14.95" customHeight="1" thickBot="1" x14ac:dyDescent="0.3">
      <c r="A154" s="61" t="s">
        <v>1085</v>
      </c>
      <c r="B154" s="61" t="s">
        <v>90</v>
      </c>
      <c r="C154" s="9">
        <f>Ridlexetries</f>
        <v>1</v>
      </c>
      <c r="D154" s="2" t="s">
        <v>124</v>
      </c>
      <c r="E154" s="2" t="s">
        <v>80</v>
      </c>
      <c r="F154" s="23">
        <f>Ludlowglopts</f>
        <v>5</v>
      </c>
    </row>
    <row r="155" spans="1:6" ht="14.95" customHeight="1" thickBot="1" x14ac:dyDescent="0.3">
      <c r="A155" s="61" t="s">
        <v>286</v>
      </c>
      <c r="B155" s="61" t="s">
        <v>81</v>
      </c>
      <c r="C155" s="9">
        <f>Roddsaltries</f>
        <v>1</v>
      </c>
      <c r="D155" s="2" t="s">
        <v>741</v>
      </c>
      <c r="E155" s="2" t="s">
        <v>81</v>
      </c>
      <c r="F155" s="23">
        <f>Jamessalpts</f>
        <v>5</v>
      </c>
    </row>
    <row r="156" spans="1:6" ht="14.95" customHeight="1" thickBot="1" x14ac:dyDescent="0.3">
      <c r="A156" s="61" t="s">
        <v>987</v>
      </c>
      <c r="B156" s="10" t="s">
        <v>544</v>
      </c>
      <c r="C156" s="9">
        <f>RogersonLEItries</f>
        <v>1</v>
      </c>
      <c r="D156" s="2" t="s">
        <v>166</v>
      </c>
      <c r="E156" s="2" t="s">
        <v>89</v>
      </c>
      <c r="F156" s="23">
        <f>Murleyharpts</f>
        <v>5</v>
      </c>
    </row>
    <row r="157" spans="1:6" ht="14.95" customHeight="1" thickBot="1" x14ac:dyDescent="0.3">
      <c r="A157" s="61" t="s">
        <v>1018</v>
      </c>
      <c r="B157" s="61" t="s">
        <v>82</v>
      </c>
      <c r="C157" s="9">
        <f>Selabthtries</f>
        <v>1</v>
      </c>
      <c r="D157" s="2" t="s">
        <v>206</v>
      </c>
      <c r="E157" s="2" t="s">
        <v>89</v>
      </c>
      <c r="F157" s="23">
        <f>Northmoreharpts</f>
        <v>5</v>
      </c>
    </row>
    <row r="158" spans="1:6" ht="14.95" customHeight="1" thickBot="1" x14ac:dyDescent="0.3">
      <c r="A158" s="61" t="s">
        <v>459</v>
      </c>
      <c r="B158" s="61" t="s">
        <v>90</v>
      </c>
      <c r="C158" s="9">
        <f>Sioexetries</f>
        <v>1</v>
      </c>
      <c r="D158" s="2" t="s">
        <v>332</v>
      </c>
      <c r="E158" s="2" t="s">
        <v>247</v>
      </c>
      <c r="F158" s="19">
        <f>Obatoyinbonewpts</f>
        <v>5</v>
      </c>
    </row>
    <row r="159" spans="1:6" ht="14.95" customHeight="1" thickBot="1" x14ac:dyDescent="0.3">
      <c r="A159" s="61" t="s">
        <v>344</v>
      </c>
      <c r="B159" s="10" t="s">
        <v>544</v>
      </c>
      <c r="C159" s="9">
        <f>Smithleictries</f>
        <v>1</v>
      </c>
      <c r="D159" s="2" t="s">
        <v>353</v>
      </c>
      <c r="E159" s="2" t="s">
        <v>82</v>
      </c>
      <c r="F159" s="16">
        <f>OjomohBTHPTS</f>
        <v>5</v>
      </c>
    </row>
    <row r="160" spans="1:6" ht="14.95" customHeight="1" thickBot="1" x14ac:dyDescent="0.3">
      <c r="A160" s="61" t="s">
        <v>100</v>
      </c>
      <c r="B160" s="61" t="s">
        <v>82</v>
      </c>
      <c r="C160" s="9">
        <f>Spencer_Bbthtries</f>
        <v>1</v>
      </c>
      <c r="D160" s="2" t="s">
        <v>1022</v>
      </c>
      <c r="E160" s="2" t="s">
        <v>322</v>
      </c>
      <c r="F160" s="19">
        <f>Moore_Aionosarpts</f>
        <v>5</v>
      </c>
    </row>
    <row r="161" spans="1:6" ht="14.95" customHeight="1" thickBot="1" x14ac:dyDescent="0.3">
      <c r="A161" s="61" t="s">
        <v>515</v>
      </c>
      <c r="B161" s="61" t="s">
        <v>83</v>
      </c>
      <c r="C161" s="6">
        <f>ThameNORtries</f>
        <v>1</v>
      </c>
      <c r="D161" s="2" t="s">
        <v>497</v>
      </c>
      <c r="E161" s="2" t="s">
        <v>92</v>
      </c>
      <c r="F161" s="19">
        <f>OwenBRIpts</f>
        <v>5</v>
      </c>
    </row>
    <row r="162" spans="1:6" ht="14.95" customHeight="1" thickBot="1" x14ac:dyDescent="0.3">
      <c r="A162" s="61" t="s">
        <v>1046</v>
      </c>
      <c r="B162" s="61" t="s">
        <v>89</v>
      </c>
      <c r="C162" s="9">
        <f>TurnerHARTRIES</f>
        <v>1</v>
      </c>
      <c r="D162" s="2" t="s">
        <v>708</v>
      </c>
      <c r="E162" s="2" t="s">
        <v>247</v>
      </c>
      <c r="F162" s="19">
        <f>Palframannewpts</f>
        <v>5</v>
      </c>
    </row>
    <row r="163" spans="1:6" ht="14.95" customHeight="1" thickBot="1" x14ac:dyDescent="0.3">
      <c r="A163" s="61" t="s">
        <v>139</v>
      </c>
      <c r="B163" s="61" t="s">
        <v>82</v>
      </c>
      <c r="C163" s="453">
        <f>van_Velzebthtries</f>
        <v>1</v>
      </c>
      <c r="D163" s="2" t="s">
        <v>457</v>
      </c>
      <c r="E163" s="2" t="s">
        <v>82</v>
      </c>
      <c r="F163" s="19">
        <f>Pepperbthpts</f>
        <v>5</v>
      </c>
    </row>
    <row r="164" spans="1:6" ht="14.95" customHeight="1" thickBot="1" x14ac:dyDescent="0.3">
      <c r="A164" s="61" t="s">
        <v>337</v>
      </c>
      <c r="B164" s="61" t="s">
        <v>322</v>
      </c>
      <c r="C164" s="10">
        <f>van_Zylsartriescorrect</f>
        <v>1</v>
      </c>
      <c r="D164" s="2" t="s">
        <v>300</v>
      </c>
      <c r="E164" s="2" t="s">
        <v>81</v>
      </c>
      <c r="F164" s="19">
        <f>Quirkesalpts</f>
        <v>5</v>
      </c>
    </row>
    <row r="165" spans="1:6" ht="14.95" customHeight="1" thickBot="1" x14ac:dyDescent="0.3">
      <c r="A165" s="12" t="s">
        <v>389</v>
      </c>
      <c r="B165" s="12" t="s">
        <v>89</v>
      </c>
      <c r="C165" s="148">
        <f>Walkerhartries</f>
        <v>1</v>
      </c>
      <c r="D165" s="21" t="s">
        <v>1085</v>
      </c>
      <c r="E165" s="21" t="s">
        <v>90</v>
      </c>
      <c r="F165" s="19">
        <f>Ridlexepts</f>
        <v>5</v>
      </c>
    </row>
    <row r="166" spans="1:6" ht="14.95" customHeight="1" thickBot="1" x14ac:dyDescent="0.3">
      <c r="A166" s="61" t="s">
        <v>151</v>
      </c>
      <c r="B166" s="10" t="s">
        <v>544</v>
      </c>
      <c r="C166" s="10">
        <f>Wellsleictries</f>
        <v>1</v>
      </c>
      <c r="D166" s="21" t="s">
        <v>286</v>
      </c>
      <c r="E166" s="21" t="s">
        <v>81</v>
      </c>
      <c r="F166" s="19">
        <f>Roddsalpts</f>
        <v>5</v>
      </c>
    </row>
    <row r="167" spans="1:6" ht="14.95" customHeight="1" thickBot="1" x14ac:dyDescent="0.3">
      <c r="A167" s="8" t="s">
        <v>737</v>
      </c>
      <c r="B167" s="8" t="s">
        <v>92</v>
      </c>
      <c r="C167" s="10">
        <f>Worsleybritries</f>
        <v>1</v>
      </c>
      <c r="D167" s="21" t="s">
        <v>1018</v>
      </c>
      <c r="E167" s="21" t="s">
        <v>82</v>
      </c>
      <c r="F167" s="20">
        <f>Selabthpts</f>
        <v>5</v>
      </c>
    </row>
    <row r="168" spans="1:6" ht="14.95" customHeight="1" thickBot="1" x14ac:dyDescent="0.3">
      <c r="A168" s="8" t="s">
        <v>1080</v>
      </c>
      <c r="B168" s="8" t="s">
        <v>322</v>
      </c>
      <c r="C168" s="9">
        <f>Adejimisartries</f>
        <v>0</v>
      </c>
      <c r="D168" s="21" t="s">
        <v>459</v>
      </c>
      <c r="E168" s="21" t="s">
        <v>90</v>
      </c>
      <c r="F168" s="19">
        <f>Sioexepts</f>
        <v>5</v>
      </c>
    </row>
    <row r="169" spans="1:6" ht="14.95" customHeight="1" thickBot="1" x14ac:dyDescent="0.3">
      <c r="A169" s="8" t="s">
        <v>682</v>
      </c>
      <c r="B169" s="9" t="s">
        <v>544</v>
      </c>
      <c r="C169" s="9">
        <f>Batemanleitries</f>
        <v>0</v>
      </c>
      <c r="D169" s="21" t="s">
        <v>344</v>
      </c>
      <c r="E169" s="21" t="s">
        <v>544</v>
      </c>
      <c r="F169" s="19">
        <f>Smithleicpts</f>
        <v>5</v>
      </c>
    </row>
    <row r="170" spans="1:6" ht="14.95" customHeight="1" thickBot="1" x14ac:dyDescent="0.3">
      <c r="A170" s="8" t="s">
        <v>868</v>
      </c>
      <c r="B170" s="9" t="s">
        <v>80</v>
      </c>
      <c r="C170" s="9">
        <f>Allportglotries</f>
        <v>0</v>
      </c>
      <c r="D170" s="21" t="s">
        <v>515</v>
      </c>
      <c r="E170" s="21" t="s">
        <v>83</v>
      </c>
      <c r="F170" s="18">
        <f>ThameNORpts</f>
        <v>5</v>
      </c>
    </row>
    <row r="171" spans="1:6" ht="14.95" customHeight="1" thickBot="1" x14ac:dyDescent="0.3">
      <c r="A171" s="8" t="s">
        <v>467</v>
      </c>
      <c r="B171" s="8" t="s">
        <v>89</v>
      </c>
      <c r="C171" s="9">
        <f>Andersonhartries</f>
        <v>0</v>
      </c>
      <c r="D171" s="21" t="s">
        <v>1046</v>
      </c>
      <c r="E171" s="21" t="s">
        <v>89</v>
      </c>
      <c r="F171" s="19">
        <f>TurnerHARPTS</f>
        <v>5</v>
      </c>
    </row>
    <row r="172" spans="1:6" ht="14.95" customHeight="1" thickBot="1" x14ac:dyDescent="0.3">
      <c r="A172" s="8" t="s">
        <v>717</v>
      </c>
      <c r="B172" s="8" t="s">
        <v>917</v>
      </c>
      <c r="C172" s="9">
        <f>Arnoldnewtries</f>
        <v>0</v>
      </c>
      <c r="D172" s="21" t="s">
        <v>139</v>
      </c>
      <c r="E172" s="21" t="s">
        <v>82</v>
      </c>
      <c r="F172" s="20">
        <f>van_Velzebthpts</f>
        <v>5</v>
      </c>
    </row>
    <row r="173" spans="1:6" ht="14.95" customHeight="1" thickBot="1" x14ac:dyDescent="0.3">
      <c r="A173" s="8" t="s">
        <v>270</v>
      </c>
      <c r="B173" s="8" t="s">
        <v>80</v>
      </c>
      <c r="C173" s="9">
        <f>Atkinson_Cglotries</f>
        <v>0</v>
      </c>
      <c r="D173" s="21" t="s">
        <v>337</v>
      </c>
      <c r="E173" s="21" t="s">
        <v>322</v>
      </c>
      <c r="F173" s="19">
        <f>van_Zylsarptscorrect</f>
        <v>5</v>
      </c>
    </row>
    <row r="174" spans="1:6" ht="14.95" customHeight="1" thickBot="1" x14ac:dyDescent="0.3">
      <c r="A174" s="8" t="s">
        <v>383</v>
      </c>
      <c r="B174" s="8" t="s">
        <v>80</v>
      </c>
      <c r="C174" s="9">
        <f>Atkinson_Sglotries</f>
        <v>0</v>
      </c>
      <c r="D174" s="21" t="s">
        <v>389</v>
      </c>
      <c r="E174" s="21" t="s">
        <v>89</v>
      </c>
      <c r="F174" s="19">
        <f>Walkerharpts</f>
        <v>5</v>
      </c>
    </row>
    <row r="175" spans="1:6" ht="14.95" customHeight="1" thickBot="1" x14ac:dyDescent="0.3">
      <c r="A175" s="452" t="s">
        <v>643</v>
      </c>
      <c r="B175" s="452" t="s">
        <v>92</v>
      </c>
      <c r="C175" s="451">
        <f>Bakerbritries</f>
        <v>0</v>
      </c>
      <c r="D175" s="21" t="s">
        <v>151</v>
      </c>
      <c r="E175" s="21" t="s">
        <v>544</v>
      </c>
      <c r="F175" s="20">
        <f>Wellsleicpts</f>
        <v>5</v>
      </c>
    </row>
    <row r="176" spans="1:6" ht="14.95" customHeight="1" thickBot="1" x14ac:dyDescent="0.3">
      <c r="A176" s="8" t="s">
        <v>764</v>
      </c>
      <c r="B176" s="8" t="s">
        <v>322</v>
      </c>
      <c r="C176" s="9">
        <f>Balmainsartries</f>
        <v>0</v>
      </c>
      <c r="D176" s="21" t="s">
        <v>360</v>
      </c>
      <c r="E176" s="21" t="s">
        <v>89</v>
      </c>
      <c r="F176" s="19">
        <f>Bensonharpts</f>
        <v>3</v>
      </c>
    </row>
    <row r="177" spans="1:6" ht="14.95" customHeight="1" thickBot="1" x14ac:dyDescent="0.3">
      <c r="A177" s="8" t="s">
        <v>531</v>
      </c>
      <c r="B177" s="8" t="s">
        <v>81</v>
      </c>
      <c r="C177" s="9">
        <f>BamberSALtries</f>
        <v>0</v>
      </c>
      <c r="D177" s="19" t="s">
        <v>125</v>
      </c>
      <c r="E177" s="19" t="s">
        <v>92</v>
      </c>
      <c r="F177" s="19">
        <f>MacGintybripts</f>
        <v>3</v>
      </c>
    </row>
    <row r="178" spans="1:6" ht="14.95" customHeight="1" thickBot="1" x14ac:dyDescent="0.3">
      <c r="A178" s="8" t="s">
        <v>612</v>
      </c>
      <c r="B178" s="8" t="s">
        <v>92</v>
      </c>
      <c r="C178" s="9">
        <f>Barkerbritries</f>
        <v>0</v>
      </c>
      <c r="D178" s="21" t="s">
        <v>220</v>
      </c>
      <c r="E178" s="21" t="s">
        <v>90</v>
      </c>
      <c r="F178" s="20">
        <f>Hodgeexepts</f>
        <v>2</v>
      </c>
    </row>
    <row r="179" spans="1:6" ht="14.95" customHeight="1" thickBot="1" x14ac:dyDescent="0.3">
      <c r="A179" s="8" t="s">
        <v>177</v>
      </c>
      <c r="B179" s="8" t="s">
        <v>80</v>
      </c>
      <c r="C179" s="9">
        <f>Bartonglotries</f>
        <v>0</v>
      </c>
      <c r="D179" s="21" t="s">
        <v>1080</v>
      </c>
      <c r="E179" s="21" t="s">
        <v>322</v>
      </c>
      <c r="F179" s="19">
        <f>Adejimisarpts</f>
        <v>0</v>
      </c>
    </row>
    <row r="180" spans="1:6" ht="14.95" customHeight="1" thickBot="1" x14ac:dyDescent="0.3">
      <c r="A180" s="9" t="s">
        <v>190</v>
      </c>
      <c r="B180" s="9" t="s">
        <v>92</v>
      </c>
      <c r="C180" s="9">
        <f>Batesbritries</f>
        <v>0</v>
      </c>
      <c r="D180" s="21" t="s">
        <v>682</v>
      </c>
      <c r="E180" s="21" t="s">
        <v>544</v>
      </c>
      <c r="F180" s="19">
        <f>Batemanleipts</f>
        <v>0</v>
      </c>
    </row>
    <row r="181" spans="1:6" ht="14.95" customHeight="1" thickBot="1" x14ac:dyDescent="0.3">
      <c r="A181" s="8" t="s">
        <v>490</v>
      </c>
      <c r="B181" s="8" t="s">
        <v>89</v>
      </c>
      <c r="C181" s="9">
        <f>Baxterhartries</f>
        <v>0</v>
      </c>
      <c r="D181" s="21" t="s">
        <v>868</v>
      </c>
      <c r="E181" s="21" t="s">
        <v>80</v>
      </c>
      <c r="F181" s="19">
        <f>Allportglopts</f>
        <v>0</v>
      </c>
    </row>
    <row r="182" spans="1:6" ht="14.95" customHeight="1" thickBot="1" x14ac:dyDescent="0.3">
      <c r="A182" s="8" t="s">
        <v>104</v>
      </c>
      <c r="B182" s="8" t="s">
        <v>82</v>
      </c>
      <c r="C182" s="9">
        <f>Baylissbthtries</f>
        <v>0</v>
      </c>
      <c r="D182" s="21" t="s">
        <v>467</v>
      </c>
      <c r="E182" s="21" t="s">
        <v>89</v>
      </c>
      <c r="F182" s="19">
        <f>Andersonharpts</f>
        <v>0</v>
      </c>
    </row>
    <row r="183" spans="1:6" ht="14.95" customHeight="1" thickBot="1" x14ac:dyDescent="0.3">
      <c r="A183" s="9" t="s">
        <v>372</v>
      </c>
      <c r="B183" s="9" t="s">
        <v>89</v>
      </c>
      <c r="C183" s="9">
        <f>Beardhartries</f>
        <v>0</v>
      </c>
      <c r="D183" s="21" t="s">
        <v>717</v>
      </c>
      <c r="E183" s="21" t="s">
        <v>917</v>
      </c>
      <c r="F183" s="19">
        <f>Arnoldnewpts</f>
        <v>0</v>
      </c>
    </row>
    <row r="184" spans="1:6" ht="14.95" customHeight="1" thickBot="1" x14ac:dyDescent="0.3">
      <c r="A184" s="8" t="s">
        <v>442</v>
      </c>
      <c r="B184" s="8" t="s">
        <v>90</v>
      </c>
      <c r="C184" s="9">
        <f>Armanddontries</f>
        <v>0</v>
      </c>
      <c r="D184" s="21" t="s">
        <v>270</v>
      </c>
      <c r="E184" s="21" t="s">
        <v>80</v>
      </c>
      <c r="F184" s="19">
        <f>Atkinson_Cglopts</f>
        <v>0</v>
      </c>
    </row>
    <row r="185" spans="1:6" ht="14.95" customHeight="1" thickBot="1" x14ac:dyDescent="0.3">
      <c r="A185" s="8" t="s">
        <v>751</v>
      </c>
      <c r="B185" s="8" t="s">
        <v>81</v>
      </c>
      <c r="C185" s="9">
        <f>Bedlow_Jsaltries</f>
        <v>0</v>
      </c>
      <c r="D185" s="21" t="s">
        <v>383</v>
      </c>
      <c r="E185" s="21" t="s">
        <v>80</v>
      </c>
      <c r="F185" s="19">
        <f>Atkinson_Sglopts</f>
        <v>0</v>
      </c>
    </row>
    <row r="186" spans="1:6" ht="14.95" customHeight="1" thickBot="1" x14ac:dyDescent="0.3">
      <c r="A186" s="8" t="s">
        <v>155</v>
      </c>
      <c r="B186" s="8" t="s">
        <v>81</v>
      </c>
      <c r="C186" s="6">
        <f>BedlowSAL_tries</f>
        <v>0</v>
      </c>
      <c r="D186" s="21" t="s">
        <v>643</v>
      </c>
      <c r="E186" s="21" t="s">
        <v>92</v>
      </c>
      <c r="F186" s="19">
        <f>Bakerbripts</f>
        <v>0</v>
      </c>
    </row>
    <row r="187" spans="1:6" ht="14.95" customHeight="1" thickBot="1" x14ac:dyDescent="0.3">
      <c r="A187" s="8" t="s">
        <v>650</v>
      </c>
      <c r="B187" s="8" t="s">
        <v>90</v>
      </c>
      <c r="C187" s="9">
        <f>BurrowsEXEtries</f>
        <v>0</v>
      </c>
      <c r="D187" s="21" t="s">
        <v>764</v>
      </c>
      <c r="E187" s="21" t="s">
        <v>322</v>
      </c>
      <c r="F187" s="19">
        <f>Balmainsarpts</f>
        <v>0</v>
      </c>
    </row>
    <row r="188" spans="1:6" ht="14.95" customHeight="1" thickBot="1" x14ac:dyDescent="0.3">
      <c r="A188" s="9" t="s">
        <v>565</v>
      </c>
      <c r="B188" s="9" t="s">
        <v>247</v>
      </c>
      <c r="C188" s="9">
        <f>Bellonewtries</f>
        <v>0</v>
      </c>
      <c r="D188" s="21" t="s">
        <v>531</v>
      </c>
      <c r="E188" s="21" t="s">
        <v>81</v>
      </c>
      <c r="F188" s="20">
        <f>BamberSALpts</f>
        <v>0</v>
      </c>
    </row>
    <row r="189" spans="1:6" ht="14.95" customHeight="1" thickBot="1" x14ac:dyDescent="0.3">
      <c r="A189" s="8" t="s">
        <v>881</v>
      </c>
      <c r="B189" s="9" t="s">
        <v>83</v>
      </c>
      <c r="C189" s="9">
        <f>Bensonnortries</f>
        <v>0</v>
      </c>
      <c r="D189" s="21" t="s">
        <v>612</v>
      </c>
      <c r="E189" s="21" t="s">
        <v>92</v>
      </c>
      <c r="F189" s="19">
        <f>Barkerbripts</f>
        <v>0</v>
      </c>
    </row>
    <row r="190" spans="1:6" ht="14.95" customHeight="1" thickBot="1" x14ac:dyDescent="0.3">
      <c r="A190" s="8" t="s">
        <v>360</v>
      </c>
      <c r="B190" s="8" t="s">
        <v>89</v>
      </c>
      <c r="C190" s="9">
        <f>Bensonhartries</f>
        <v>0</v>
      </c>
      <c r="D190" s="21" t="s">
        <v>178</v>
      </c>
      <c r="E190" s="21" t="s">
        <v>80</v>
      </c>
      <c r="F190" s="19">
        <f>Bartonglopts</f>
        <v>0</v>
      </c>
    </row>
    <row r="191" spans="1:6" ht="14.95" customHeight="1" thickBot="1" x14ac:dyDescent="0.3">
      <c r="A191" s="298" t="s">
        <v>368</v>
      </c>
      <c r="B191" s="298" t="s">
        <v>81</v>
      </c>
      <c r="C191" s="6">
        <f>Birchsaltries</f>
        <v>0</v>
      </c>
      <c r="D191" s="19" t="s">
        <v>190</v>
      </c>
      <c r="E191" s="19" t="s">
        <v>92</v>
      </c>
      <c r="F191" s="18">
        <f>Batesbripts</f>
        <v>0</v>
      </c>
    </row>
    <row r="192" spans="1:6" ht="14.95" customHeight="1" thickBot="1" x14ac:dyDescent="0.3">
      <c r="A192" s="8" t="s">
        <v>842</v>
      </c>
      <c r="B192" s="8" t="s">
        <v>80</v>
      </c>
      <c r="C192" s="9">
        <f>Blackmoreglotries</f>
        <v>0</v>
      </c>
      <c r="D192" s="21" t="s">
        <v>490</v>
      </c>
      <c r="E192" s="21" t="s">
        <v>89</v>
      </c>
      <c r="F192" s="19">
        <f>Baxterharpts</f>
        <v>0</v>
      </c>
    </row>
    <row r="193" spans="1:6" ht="14.95" customHeight="1" thickBot="1" x14ac:dyDescent="0.3">
      <c r="A193" s="8" t="s">
        <v>249</v>
      </c>
      <c r="B193" s="9" t="s">
        <v>544</v>
      </c>
      <c r="C193" s="9">
        <f>Beetsleictries</f>
        <v>0</v>
      </c>
      <c r="D193" s="21" t="s">
        <v>104</v>
      </c>
      <c r="E193" s="21" t="s">
        <v>82</v>
      </c>
      <c r="F193" s="19">
        <f>Baylissbthpts</f>
        <v>0</v>
      </c>
    </row>
    <row r="194" spans="1:6" ht="14.95" customHeight="1" thickBot="1" x14ac:dyDescent="0.3">
      <c r="A194" s="8" t="s">
        <v>431</v>
      </c>
      <c r="B194" s="8" t="s">
        <v>89</v>
      </c>
      <c r="C194" s="9">
        <f>Bradleyhartries</f>
        <v>0</v>
      </c>
      <c r="D194" s="21" t="s">
        <v>372</v>
      </c>
      <c r="E194" s="21" t="s">
        <v>89</v>
      </c>
      <c r="F194" s="19">
        <f>Beardharpts</f>
        <v>0</v>
      </c>
    </row>
    <row r="195" spans="1:6" ht="14.95" customHeight="1" thickBot="1" x14ac:dyDescent="0.3">
      <c r="A195" s="8" t="s">
        <v>763</v>
      </c>
      <c r="B195" s="8" t="s">
        <v>322</v>
      </c>
      <c r="C195" s="9">
        <f>Beatonsartries</f>
        <v>0</v>
      </c>
      <c r="D195" s="21" t="s">
        <v>442</v>
      </c>
      <c r="E195" s="21" t="s">
        <v>90</v>
      </c>
      <c r="F195" s="19">
        <f>Armanddonpts</f>
        <v>0</v>
      </c>
    </row>
    <row r="196" spans="1:6" ht="14.95" customHeight="1" thickBot="1" x14ac:dyDescent="0.3">
      <c r="A196" s="8" t="s">
        <v>770</v>
      </c>
      <c r="B196" s="8" t="s">
        <v>322</v>
      </c>
      <c r="C196" s="9">
        <f>Brantinghamsartries</f>
        <v>0</v>
      </c>
      <c r="D196" s="19" t="s">
        <v>751</v>
      </c>
      <c r="E196" s="21" t="s">
        <v>81</v>
      </c>
      <c r="F196" s="19">
        <f>Bedlow_Jsalpts</f>
        <v>0</v>
      </c>
    </row>
    <row r="197" spans="1:6" ht="14.95" customHeight="1" thickBot="1" x14ac:dyDescent="0.3">
      <c r="A197" s="8" t="s">
        <v>251</v>
      </c>
      <c r="B197" s="8" t="s">
        <v>247</v>
      </c>
      <c r="C197" s="9">
        <f>Boschmarcelotries</f>
        <v>0</v>
      </c>
      <c r="D197" s="21" t="s">
        <v>155</v>
      </c>
      <c r="E197" s="21" t="s">
        <v>81</v>
      </c>
      <c r="F197" s="19">
        <f>BedlowSAL_pts</f>
        <v>0</v>
      </c>
    </row>
    <row r="198" spans="1:6" ht="14.95" customHeight="1" thickBot="1" x14ac:dyDescent="0.3">
      <c r="A198" s="8" t="s">
        <v>825</v>
      </c>
      <c r="B198" s="8" t="s">
        <v>83</v>
      </c>
      <c r="C198" s="9">
        <f>brownnortries</f>
        <v>0</v>
      </c>
      <c r="D198" s="21" t="s">
        <v>650</v>
      </c>
      <c r="E198" s="21" t="s">
        <v>90</v>
      </c>
      <c r="F198" s="19">
        <f>BurrowsEXEpts</f>
        <v>0</v>
      </c>
    </row>
    <row r="199" spans="1:6" ht="14.95" customHeight="1" thickBot="1" x14ac:dyDescent="0.3">
      <c r="A199" s="8" t="s">
        <v>533</v>
      </c>
      <c r="B199" s="8" t="s">
        <v>89</v>
      </c>
      <c r="C199" s="9">
        <f>BrowneHARtries</f>
        <v>0</v>
      </c>
      <c r="D199" s="21" t="s">
        <v>565</v>
      </c>
      <c r="E199" s="21" t="s">
        <v>247</v>
      </c>
      <c r="F199" s="19">
        <f>Bellonewpts</f>
        <v>0</v>
      </c>
    </row>
    <row r="200" spans="1:6" ht="14.95" customHeight="1" thickBot="1" x14ac:dyDescent="0.3">
      <c r="A200" s="8" t="s">
        <v>836</v>
      </c>
      <c r="B200" s="8" t="s">
        <v>81</v>
      </c>
      <c r="C200" s="9">
        <f>Burrowsaltries</f>
        <v>0</v>
      </c>
      <c r="D200" s="21" t="s">
        <v>881</v>
      </c>
      <c r="E200" s="21" t="s">
        <v>83</v>
      </c>
      <c r="F200" s="19">
        <f>Bensonnorpts</f>
        <v>0</v>
      </c>
    </row>
    <row r="201" spans="1:6" ht="14.95" customHeight="1" thickBot="1" x14ac:dyDescent="0.3">
      <c r="A201" s="8" t="s">
        <v>851</v>
      </c>
      <c r="B201" s="8" t="s">
        <v>80</v>
      </c>
      <c r="C201" s="9">
        <f>Butlerglotries</f>
        <v>0</v>
      </c>
      <c r="D201" s="357" t="s">
        <v>368</v>
      </c>
      <c r="E201" s="357" t="s">
        <v>81</v>
      </c>
      <c r="F201" s="19">
        <f>Birchsalpts</f>
        <v>0</v>
      </c>
    </row>
    <row r="202" spans="1:6" ht="14.95" customHeight="1" thickBot="1" x14ac:dyDescent="0.3">
      <c r="A202" s="9" t="s">
        <v>908</v>
      </c>
      <c r="B202" s="9" t="s">
        <v>80</v>
      </c>
      <c r="C202" s="9">
        <f>Byrneglotries</f>
        <v>0</v>
      </c>
      <c r="D202" s="21" t="s">
        <v>842</v>
      </c>
      <c r="E202" s="21" t="s">
        <v>80</v>
      </c>
      <c r="F202" s="19">
        <f>Blackmoreglopts</f>
        <v>0</v>
      </c>
    </row>
    <row r="203" spans="1:6" ht="14.95" customHeight="1" thickBot="1" x14ac:dyDescent="0.3">
      <c r="A203" s="8" t="s">
        <v>526</v>
      </c>
      <c r="B203" s="8" t="s">
        <v>81</v>
      </c>
      <c r="C203" s="48">
        <f>Cainesaltries</f>
        <v>0</v>
      </c>
      <c r="D203" s="21" t="s">
        <v>249</v>
      </c>
      <c r="E203" s="21" t="s">
        <v>544</v>
      </c>
      <c r="F203" s="19">
        <f>Beetsleicpts</f>
        <v>0</v>
      </c>
    </row>
    <row r="204" spans="1:6" ht="14.95" customHeight="1" thickBot="1" x14ac:dyDescent="0.3">
      <c r="A204" s="8" t="s">
        <v>488</v>
      </c>
      <c r="B204" s="8" t="s">
        <v>90</v>
      </c>
      <c r="C204" s="9">
        <f>Cairnsexetries</f>
        <v>0</v>
      </c>
      <c r="D204" s="21" t="s">
        <v>431</v>
      </c>
      <c r="E204" s="21" t="s">
        <v>89</v>
      </c>
      <c r="F204" s="19">
        <f>Bradleyharpts</f>
        <v>0</v>
      </c>
    </row>
    <row r="205" spans="1:6" ht="14.95" customHeight="1" thickBot="1" x14ac:dyDescent="0.3">
      <c r="A205" s="8" t="s">
        <v>192</v>
      </c>
      <c r="B205" s="8" t="s">
        <v>92</v>
      </c>
      <c r="C205" s="9">
        <f>Caponbritries</f>
        <v>0</v>
      </c>
      <c r="D205" s="21" t="s">
        <v>763</v>
      </c>
      <c r="E205" s="21" t="s">
        <v>322</v>
      </c>
      <c r="F205" s="19">
        <f>Beatonsarpts</f>
        <v>0</v>
      </c>
    </row>
    <row r="206" spans="1:6" ht="14.95" customHeight="1" thickBot="1" x14ac:dyDescent="0.3">
      <c r="A206" s="8" t="s">
        <v>159</v>
      </c>
      <c r="B206" s="8" t="s">
        <v>90</v>
      </c>
      <c r="C206" s="9">
        <f>Capstickexetries</f>
        <v>0</v>
      </c>
      <c r="D206" s="21" t="s">
        <v>770</v>
      </c>
      <c r="E206" s="21" t="s">
        <v>322</v>
      </c>
      <c r="F206" s="19">
        <f>Brantinghamsarpts</f>
        <v>0</v>
      </c>
    </row>
    <row r="207" spans="1:6" ht="14.95" customHeight="1" thickBot="1" x14ac:dyDescent="0.3">
      <c r="A207" s="8" t="s">
        <v>587</v>
      </c>
      <c r="B207" s="8" t="s">
        <v>247</v>
      </c>
      <c r="C207" s="9">
        <f>Carrerasnewtries</f>
        <v>0</v>
      </c>
      <c r="D207" s="21" t="s">
        <v>251</v>
      </c>
      <c r="E207" s="21" t="s">
        <v>247</v>
      </c>
      <c r="F207" s="19">
        <f>Boschmarcelopts</f>
        <v>0</v>
      </c>
    </row>
    <row r="208" spans="1:6" ht="14.95" customHeight="1" thickBot="1" x14ac:dyDescent="0.3">
      <c r="A208" s="8" t="s">
        <v>877</v>
      </c>
      <c r="B208" s="8" t="s">
        <v>544</v>
      </c>
      <c r="C208" s="9">
        <f>Carnduffleitries</f>
        <v>0</v>
      </c>
      <c r="D208" s="21" t="s">
        <v>825</v>
      </c>
      <c r="E208" s="21" t="s">
        <v>83</v>
      </c>
      <c r="F208" s="19">
        <f>brownnorpts</f>
        <v>0</v>
      </c>
    </row>
    <row r="209" spans="1:6" ht="14.95" customHeight="1" thickBot="1" x14ac:dyDescent="0.3">
      <c r="A209" s="8" t="s">
        <v>430</v>
      </c>
      <c r="B209" s="8" t="s">
        <v>89</v>
      </c>
      <c r="C209" s="9">
        <f>Carrhartries</f>
        <v>0</v>
      </c>
      <c r="D209" s="21" t="s">
        <v>533</v>
      </c>
      <c r="E209" s="21" t="s">
        <v>89</v>
      </c>
      <c r="F209" s="19">
        <f>BrowneHARpts</f>
        <v>0</v>
      </c>
    </row>
    <row r="210" spans="1:6" ht="14.95" customHeight="1" thickBot="1" x14ac:dyDescent="0.3">
      <c r="A210" s="298" t="s">
        <v>464</v>
      </c>
      <c r="B210" s="298" t="s">
        <v>82</v>
      </c>
      <c r="C210" s="9">
        <f>Ciprianibthtries</f>
        <v>0</v>
      </c>
      <c r="D210" s="19" t="s">
        <v>836</v>
      </c>
      <c r="E210" s="19" t="s">
        <v>81</v>
      </c>
      <c r="F210" s="19">
        <f>Burrowsalpts</f>
        <v>0</v>
      </c>
    </row>
    <row r="211" spans="1:6" ht="14.95" customHeight="1" thickBot="1" x14ac:dyDescent="0.3">
      <c r="A211" s="61" t="s">
        <v>940</v>
      </c>
      <c r="B211" s="8" t="s">
        <v>80</v>
      </c>
      <c r="C211" s="9">
        <f>Carrerasglotries</f>
        <v>0</v>
      </c>
      <c r="D211" s="21" t="s">
        <v>851</v>
      </c>
      <c r="E211" s="21" t="s">
        <v>80</v>
      </c>
      <c r="F211" s="19">
        <f>Butlerglopts</f>
        <v>0</v>
      </c>
    </row>
    <row r="212" spans="1:6" ht="14.95" customHeight="1" thickBot="1" x14ac:dyDescent="0.3">
      <c r="A212" s="61" t="s">
        <v>153</v>
      </c>
      <c r="B212" s="8" t="s">
        <v>90</v>
      </c>
      <c r="C212" s="9">
        <f>Davisexetrie</f>
        <v>0</v>
      </c>
      <c r="D212" s="2" t="s">
        <v>526</v>
      </c>
      <c r="E212" s="21" t="s">
        <v>81</v>
      </c>
      <c r="F212" s="19">
        <f>Cainesalpts</f>
        <v>0</v>
      </c>
    </row>
    <row r="213" spans="1:6" ht="14.95" customHeight="1" thickBot="1" x14ac:dyDescent="0.3">
      <c r="A213" s="61" t="s">
        <v>609</v>
      </c>
      <c r="B213" s="8" t="s">
        <v>92</v>
      </c>
      <c r="C213" s="9">
        <f>Challengerbritries</f>
        <v>0</v>
      </c>
      <c r="D213" s="2" t="s">
        <v>488</v>
      </c>
      <c r="E213" s="21" t="s">
        <v>90</v>
      </c>
      <c r="F213" s="18">
        <f>Cairnsexepts</f>
        <v>0</v>
      </c>
    </row>
    <row r="214" spans="1:6" ht="14.95" customHeight="1" thickBot="1" x14ac:dyDescent="0.3">
      <c r="A214" s="8" t="s">
        <v>420</v>
      </c>
      <c r="B214" s="9" t="s">
        <v>544</v>
      </c>
      <c r="C214" s="6">
        <f>Chessum_Lleitries</f>
        <v>0</v>
      </c>
      <c r="D214" s="21" t="s">
        <v>192</v>
      </c>
      <c r="E214" s="21" t="s">
        <v>92</v>
      </c>
      <c r="F214" s="19">
        <f>Caponbripts</f>
        <v>0</v>
      </c>
    </row>
    <row r="215" spans="1:6" ht="14.95" customHeight="1" thickBot="1" x14ac:dyDescent="0.3">
      <c r="A215" s="8" t="s">
        <v>252</v>
      </c>
      <c r="B215" s="8" t="s">
        <v>247</v>
      </c>
      <c r="C215" s="9">
        <f>Burgerjacquestries</f>
        <v>0</v>
      </c>
      <c r="D215" s="21" t="s">
        <v>159</v>
      </c>
      <c r="E215" s="21" t="s">
        <v>90</v>
      </c>
      <c r="F215" s="18">
        <f>Capstickexepts</f>
        <v>0</v>
      </c>
    </row>
    <row r="216" spans="1:6" ht="14.95" customHeight="1" thickBot="1" x14ac:dyDescent="0.3">
      <c r="A216" s="8" t="s">
        <v>85</v>
      </c>
      <c r="B216" s="8" t="s">
        <v>89</v>
      </c>
      <c r="C216" s="48">
        <f>Chisholmjameshartries</f>
        <v>0</v>
      </c>
      <c r="D216" s="21" t="s">
        <v>587</v>
      </c>
      <c r="E216" s="21" t="s">
        <v>247</v>
      </c>
      <c r="F216" s="19">
        <f>Carrerasnewpts</f>
        <v>0</v>
      </c>
    </row>
    <row r="217" spans="1:6" ht="14.95" customHeight="1" thickBot="1" x14ac:dyDescent="0.3">
      <c r="A217" s="8" t="s">
        <v>555</v>
      </c>
      <c r="B217" s="8" t="s">
        <v>322</v>
      </c>
      <c r="C217" s="9">
        <f>Cintisartries</f>
        <v>0</v>
      </c>
      <c r="D217" s="21" t="s">
        <v>877</v>
      </c>
      <c r="E217" s="21" t="s">
        <v>544</v>
      </c>
      <c r="F217" s="18">
        <f>Carnduffleipts</f>
        <v>0</v>
      </c>
    </row>
    <row r="218" spans="1:6" ht="14.95" customHeight="1" thickBot="1" x14ac:dyDescent="0.3">
      <c r="A218" s="8" t="s">
        <v>265</v>
      </c>
      <c r="B218" s="9" t="s">
        <v>544</v>
      </c>
      <c r="C218" s="9">
        <f>Blommetjiesleictries</f>
        <v>0</v>
      </c>
      <c r="D218" s="21" t="s">
        <v>430</v>
      </c>
      <c r="E218" s="21" t="s">
        <v>89</v>
      </c>
      <c r="F218" s="19">
        <f>Carrharpts</f>
        <v>0</v>
      </c>
    </row>
    <row r="219" spans="1:6" ht="14.95" customHeight="1" thickBot="1" x14ac:dyDescent="0.3">
      <c r="A219" s="8" t="s">
        <v>323</v>
      </c>
      <c r="B219" s="8" t="s">
        <v>322</v>
      </c>
      <c r="C219" s="9">
        <f>Clareysartriescorrect</f>
        <v>0</v>
      </c>
      <c r="D219" s="357" t="s">
        <v>464</v>
      </c>
      <c r="E219" s="357" t="s">
        <v>82</v>
      </c>
      <c r="F219" s="19">
        <f>ciprianibthpts</f>
        <v>0</v>
      </c>
    </row>
    <row r="220" spans="1:6" ht="14.95" customHeight="1" thickBot="1" x14ac:dyDescent="0.3">
      <c r="A220" s="8" t="s">
        <v>1074</v>
      </c>
      <c r="B220" s="8" t="s">
        <v>322</v>
      </c>
      <c r="C220" s="9">
        <f>Clarkesartries</f>
        <v>0</v>
      </c>
      <c r="D220" s="21" t="s">
        <v>940</v>
      </c>
      <c r="E220" s="21" t="s">
        <v>80</v>
      </c>
      <c r="F220" s="19">
        <f>Carrerasglopts</f>
        <v>0</v>
      </c>
    </row>
    <row r="221" spans="1:6" ht="14.95" customHeight="1" thickBot="1" x14ac:dyDescent="0.3">
      <c r="A221" s="8" t="s">
        <v>1066</v>
      </c>
      <c r="B221" s="8" t="s">
        <v>90</v>
      </c>
      <c r="C221" s="9">
        <f>Coenexetries</f>
        <v>0</v>
      </c>
      <c r="D221" s="21" t="s">
        <v>153</v>
      </c>
      <c r="E221" s="21" t="s">
        <v>90</v>
      </c>
      <c r="F221" s="20">
        <f>Davisexepoints</f>
        <v>0</v>
      </c>
    </row>
    <row r="222" spans="1:6" ht="14.95" customHeight="1" thickBot="1" x14ac:dyDescent="0.3">
      <c r="A222" s="8" t="s">
        <v>550</v>
      </c>
      <c r="B222" s="8" t="s">
        <v>82</v>
      </c>
      <c r="C222" s="9">
        <f>Cookbthtries</f>
        <v>0</v>
      </c>
      <c r="D222" s="21" t="s">
        <v>609</v>
      </c>
      <c r="E222" s="21" t="s">
        <v>92</v>
      </c>
      <c r="F222" s="19">
        <f>Challengerbripts</f>
        <v>0</v>
      </c>
    </row>
    <row r="223" spans="1:6" ht="14.95" customHeight="1" thickBot="1" x14ac:dyDescent="0.3">
      <c r="A223" s="9" t="s">
        <v>260</v>
      </c>
      <c r="B223" s="9" t="s">
        <v>247</v>
      </c>
      <c r="C223" s="9">
        <f>Connonnewtriescorrectthsione</f>
        <v>0</v>
      </c>
      <c r="D223" s="21" t="s">
        <v>420</v>
      </c>
      <c r="E223" s="21" t="s">
        <v>544</v>
      </c>
      <c r="F223" s="19">
        <f>Chessum_Lleipts</f>
        <v>0</v>
      </c>
    </row>
    <row r="224" spans="1:6" ht="14.95" customHeight="1" thickBot="1" x14ac:dyDescent="0.3">
      <c r="A224" s="8" t="s">
        <v>884</v>
      </c>
      <c r="B224" s="8" t="s">
        <v>80</v>
      </c>
      <c r="C224" s="9">
        <f>Cotgreaveglotries</f>
        <v>0</v>
      </c>
      <c r="D224" s="19" t="s">
        <v>252</v>
      </c>
      <c r="E224" s="19" t="s">
        <v>247</v>
      </c>
      <c r="F224" s="18">
        <f>Burgerjacquespts</f>
        <v>0</v>
      </c>
    </row>
    <row r="225" spans="1:6" ht="14.95" customHeight="1" thickBot="1" x14ac:dyDescent="0.3">
      <c r="A225" s="8" t="s">
        <v>695</v>
      </c>
      <c r="B225" s="8" t="s">
        <v>247</v>
      </c>
      <c r="C225" s="9">
        <f>Crossdalesartriescorrect</f>
        <v>0</v>
      </c>
      <c r="D225" s="21" t="s">
        <v>85</v>
      </c>
      <c r="E225" s="21" t="s">
        <v>89</v>
      </c>
      <c r="F225" s="19">
        <f>Chisholmjamesharpts</f>
        <v>0</v>
      </c>
    </row>
    <row r="226" spans="1:6" ht="14.95" customHeight="1" thickBot="1" x14ac:dyDescent="0.3">
      <c r="A226" s="8" t="s">
        <v>863</v>
      </c>
      <c r="B226" s="8" t="s">
        <v>82</v>
      </c>
      <c r="C226" s="9">
        <f>Cowanbthtries</f>
        <v>0</v>
      </c>
      <c r="D226" s="21" t="s">
        <v>555</v>
      </c>
      <c r="E226" s="21" t="s">
        <v>322</v>
      </c>
      <c r="F226" s="19">
        <f>Cintisarpts</f>
        <v>0</v>
      </c>
    </row>
    <row r="227" spans="1:6" ht="14.95" customHeight="1" thickBot="1" x14ac:dyDescent="0.3">
      <c r="A227" s="9" t="s">
        <v>616</v>
      </c>
      <c r="B227" s="9" t="s">
        <v>92</v>
      </c>
      <c r="C227" s="9">
        <f>Crippsbritries</f>
        <v>0</v>
      </c>
      <c r="D227" s="21" t="s">
        <v>265</v>
      </c>
      <c r="E227" s="21" t="s">
        <v>544</v>
      </c>
      <c r="F227" s="19">
        <f>Blommetjiesleicpts</f>
        <v>0</v>
      </c>
    </row>
    <row r="228" spans="1:6" ht="14.95" customHeight="1" thickBot="1" x14ac:dyDescent="0.3">
      <c r="A228" s="8" t="s">
        <v>598</v>
      </c>
      <c r="B228" s="8" t="s">
        <v>89</v>
      </c>
      <c r="C228" s="9">
        <f>Cunningham_Sthhartries</f>
        <v>0</v>
      </c>
      <c r="D228" s="21" t="s">
        <v>323</v>
      </c>
      <c r="E228" s="21" t="s">
        <v>322</v>
      </c>
      <c r="F228" s="19">
        <f>Clareysarptscorrect</f>
        <v>0</v>
      </c>
    </row>
    <row r="229" spans="1:6" ht="14.95" customHeight="1" thickBot="1" x14ac:dyDescent="0.3">
      <c r="A229" s="298" t="s">
        <v>87</v>
      </c>
      <c r="B229" s="298" t="s">
        <v>81</v>
      </c>
      <c r="C229" s="6">
        <f>Curry_Bsaltries</f>
        <v>0</v>
      </c>
      <c r="D229" s="21" t="s">
        <v>1074</v>
      </c>
      <c r="E229" s="21" t="s">
        <v>322</v>
      </c>
      <c r="F229" s="19">
        <f>Clarkesarpts</f>
        <v>0</v>
      </c>
    </row>
    <row r="230" spans="1:6" ht="14.95" customHeight="1" thickBot="1" x14ac:dyDescent="0.3">
      <c r="A230" s="8" t="s">
        <v>88</v>
      </c>
      <c r="B230" s="8" t="s">
        <v>81</v>
      </c>
      <c r="C230" s="9">
        <f>Curry_Tsaltries</f>
        <v>0</v>
      </c>
      <c r="D230" s="357" t="s">
        <v>1066</v>
      </c>
      <c r="E230" s="357" t="s">
        <v>90</v>
      </c>
      <c r="F230" s="19">
        <f>Coenexepts</f>
        <v>0</v>
      </c>
    </row>
    <row r="231" spans="1:6" ht="14.95" customHeight="1" thickBot="1" x14ac:dyDescent="0.3">
      <c r="A231" s="8" t="s">
        <v>186</v>
      </c>
      <c r="B231" s="8" t="s">
        <v>81</v>
      </c>
      <c r="C231" s="9">
        <f>Curtissaltries</f>
        <v>0</v>
      </c>
      <c r="D231" s="21" t="s">
        <v>550</v>
      </c>
      <c r="E231" s="21" t="s">
        <v>82</v>
      </c>
      <c r="F231" s="19">
        <f>Cookbthpts</f>
        <v>0</v>
      </c>
    </row>
    <row r="232" spans="1:6" ht="14.95" customHeight="1" thickBot="1" x14ac:dyDescent="0.3">
      <c r="A232" s="8" t="s">
        <v>324</v>
      </c>
      <c r="B232" s="8" t="s">
        <v>322</v>
      </c>
      <c r="C232" s="9">
        <f>Dalysartriescorrect</f>
        <v>0</v>
      </c>
      <c r="D232" s="21" t="s">
        <v>884</v>
      </c>
      <c r="E232" s="21" t="s">
        <v>80</v>
      </c>
      <c r="F232" s="19">
        <f>Cotgreaveglopts</f>
        <v>0</v>
      </c>
    </row>
    <row r="233" spans="1:6" ht="14.95" customHeight="1" thickBot="1" x14ac:dyDescent="0.3">
      <c r="A233" s="8" t="s">
        <v>170</v>
      </c>
      <c r="B233" s="8" t="s">
        <v>89</v>
      </c>
      <c r="C233" s="9">
        <f>Davidhartries</f>
        <v>0</v>
      </c>
      <c r="D233" s="19" t="s">
        <v>695</v>
      </c>
      <c r="E233" s="19" t="s">
        <v>247</v>
      </c>
      <c r="F233" s="19">
        <f>Crossdalesarptscorrect</f>
        <v>0</v>
      </c>
    </row>
    <row r="234" spans="1:6" ht="14.95" customHeight="1" thickBot="1" x14ac:dyDescent="0.3">
      <c r="A234" s="8" t="s">
        <v>356</v>
      </c>
      <c r="B234" s="8" t="s">
        <v>83</v>
      </c>
      <c r="C234" s="9">
        <f>DavidsonNORtries</f>
        <v>0</v>
      </c>
      <c r="D234" s="21" t="s">
        <v>863</v>
      </c>
      <c r="E234" s="21" t="s">
        <v>82</v>
      </c>
      <c r="F234" s="19">
        <f>Cowanbthpts</f>
        <v>0</v>
      </c>
    </row>
    <row r="235" spans="1:6" ht="14.95" customHeight="1" thickBot="1" x14ac:dyDescent="0.3">
      <c r="A235" s="8" t="s">
        <v>1078</v>
      </c>
      <c r="B235" s="8" t="s">
        <v>322</v>
      </c>
      <c r="C235" s="9">
        <f>Davidsonsartrie</f>
        <v>0</v>
      </c>
      <c r="D235" s="21" t="s">
        <v>616</v>
      </c>
      <c r="E235" s="21" t="s">
        <v>92</v>
      </c>
      <c r="F235" s="19">
        <f>Crippsbripts</f>
        <v>0</v>
      </c>
    </row>
    <row r="236" spans="1:6" ht="14.95" customHeight="1" thickBot="1" x14ac:dyDescent="0.3">
      <c r="A236" s="8" t="s">
        <v>449</v>
      </c>
      <c r="B236" s="8" t="s">
        <v>81</v>
      </c>
      <c r="C236" s="9">
        <f>de_Jagersaltries</f>
        <v>0</v>
      </c>
      <c r="D236" s="21" t="s">
        <v>598</v>
      </c>
      <c r="E236" s="21" t="s">
        <v>89</v>
      </c>
      <c r="F236" s="19">
        <f>Cunningham_Sthharpts</f>
        <v>0</v>
      </c>
    </row>
    <row r="237" spans="1:6" ht="14.95" customHeight="1" thickBot="1" x14ac:dyDescent="0.3">
      <c r="A237" s="8" t="s">
        <v>449</v>
      </c>
      <c r="B237" s="8" t="s">
        <v>81</v>
      </c>
      <c r="C237" s="9">
        <f>de_Jagersaltries</f>
        <v>0</v>
      </c>
      <c r="D237" s="357" t="s">
        <v>87</v>
      </c>
      <c r="E237" s="357" t="s">
        <v>81</v>
      </c>
      <c r="F237" s="19">
        <f>Curry_Bsalpts</f>
        <v>0</v>
      </c>
    </row>
    <row r="238" spans="1:6" ht="14.95" customHeight="1" thickBot="1" x14ac:dyDescent="0.3">
      <c r="A238" s="8" t="s">
        <v>696</v>
      </c>
      <c r="B238" s="8" t="s">
        <v>247</v>
      </c>
      <c r="C238" s="9">
        <f>Daltonnewtries</f>
        <v>0</v>
      </c>
      <c r="D238" s="21" t="s">
        <v>88</v>
      </c>
      <c r="E238" s="21" t="s">
        <v>81</v>
      </c>
      <c r="F238" s="19">
        <f>Curry_Tsalpts</f>
        <v>0</v>
      </c>
    </row>
    <row r="239" spans="1:6" ht="14.95" customHeight="1" thickBot="1" x14ac:dyDescent="0.3">
      <c r="A239" s="8" t="s">
        <v>721</v>
      </c>
      <c r="B239" s="8" t="s">
        <v>247</v>
      </c>
      <c r="C239" s="9">
        <f>de_Bruinnewtries</f>
        <v>0</v>
      </c>
      <c r="D239" s="21" t="s">
        <v>186</v>
      </c>
      <c r="E239" s="21" t="s">
        <v>81</v>
      </c>
      <c r="F239" s="19">
        <f>Curtissalpts</f>
        <v>0</v>
      </c>
    </row>
    <row r="240" spans="1:6" ht="14.95" customHeight="1" thickBot="1" x14ac:dyDescent="0.3">
      <c r="A240" s="8" t="s">
        <v>534</v>
      </c>
      <c r="B240" s="8" t="s">
        <v>247</v>
      </c>
      <c r="C240" s="9">
        <f>de_ChavesNEWtries</f>
        <v>0</v>
      </c>
      <c r="D240" s="21" t="s">
        <v>324</v>
      </c>
      <c r="E240" s="21" t="s">
        <v>322</v>
      </c>
      <c r="F240" s="19">
        <f>Dalysarptscorrect</f>
        <v>0</v>
      </c>
    </row>
    <row r="241" spans="1:6" ht="14.95" customHeight="1" thickBot="1" x14ac:dyDescent="0.3">
      <c r="A241" s="8" t="s">
        <v>162</v>
      </c>
      <c r="B241" s="8" t="s">
        <v>83</v>
      </c>
      <c r="C241" s="9">
        <f>Dingwallnortries</f>
        <v>0</v>
      </c>
      <c r="D241" s="21" t="s">
        <v>170</v>
      </c>
      <c r="E241" s="21" t="s">
        <v>89</v>
      </c>
      <c r="F241" s="19">
        <f>Davidharpts</f>
        <v>0</v>
      </c>
    </row>
    <row r="242" spans="1:6" ht="14.95" customHeight="1" thickBot="1" x14ac:dyDescent="0.3">
      <c r="A242" s="9" t="s">
        <v>718</v>
      </c>
      <c r="B242" s="8" t="s">
        <v>247</v>
      </c>
      <c r="C242" s="9">
        <f>Dohertynewtries</f>
        <v>0</v>
      </c>
      <c r="D242" s="21" t="s">
        <v>356</v>
      </c>
      <c r="E242" s="21" t="s">
        <v>83</v>
      </c>
      <c r="F242" s="19">
        <f>DavidsonNORpts</f>
        <v>0</v>
      </c>
    </row>
    <row r="243" spans="1:6" ht="14.95" customHeight="1" thickBot="1" x14ac:dyDescent="0.3">
      <c r="A243" s="8" t="s">
        <v>861</v>
      </c>
      <c r="B243" s="9" t="s">
        <v>82</v>
      </c>
      <c r="C243" s="48">
        <f>Donoghuebthtries</f>
        <v>0</v>
      </c>
      <c r="D243" s="21" t="s">
        <v>1078</v>
      </c>
      <c r="E243" s="21" t="s">
        <v>322</v>
      </c>
      <c r="F243" s="19">
        <f>Davidsonsarpts</f>
        <v>0</v>
      </c>
    </row>
    <row r="244" spans="1:6" ht="14.95" customHeight="1" thickBot="1" x14ac:dyDescent="0.3">
      <c r="A244" s="8" t="s">
        <v>674</v>
      </c>
      <c r="B244" s="8" t="s">
        <v>89</v>
      </c>
      <c r="C244" s="9">
        <f>Edwardshartries</f>
        <v>0</v>
      </c>
      <c r="D244" s="21" t="s">
        <v>449</v>
      </c>
      <c r="E244" s="21" t="s">
        <v>81</v>
      </c>
      <c r="F244" s="19">
        <f>de_Jagersalpts</f>
        <v>0</v>
      </c>
    </row>
    <row r="245" spans="1:6" ht="14.95" customHeight="1" thickBot="1" x14ac:dyDescent="0.3">
      <c r="A245" s="9" t="s">
        <v>182</v>
      </c>
      <c r="B245" s="8" t="s">
        <v>81</v>
      </c>
      <c r="C245" s="9">
        <f>du_Preez_Dsaltries</f>
        <v>0</v>
      </c>
      <c r="D245" s="21" t="s">
        <v>449</v>
      </c>
      <c r="E245" s="21" t="s">
        <v>81</v>
      </c>
      <c r="F245" s="19">
        <f>de_Jagersalpts</f>
        <v>0</v>
      </c>
    </row>
    <row r="246" spans="1:6" ht="14.95" customHeight="1" thickBot="1" x14ac:dyDescent="0.3">
      <c r="A246" s="8" t="s">
        <v>362</v>
      </c>
      <c r="B246" s="8" t="s">
        <v>81</v>
      </c>
      <c r="C246" s="9">
        <f>Dugdalesaltries</f>
        <v>0</v>
      </c>
      <c r="D246" s="19" t="s">
        <v>696</v>
      </c>
      <c r="E246" s="19" t="s">
        <v>247</v>
      </c>
      <c r="F246" s="19">
        <f>Daltonnewpts</f>
        <v>0</v>
      </c>
    </row>
    <row r="247" spans="1:6" ht="14.95" customHeight="1" thickBot="1" x14ac:dyDescent="0.3">
      <c r="A247" s="8" t="s">
        <v>552</v>
      </c>
      <c r="B247" s="8" t="s">
        <v>92</v>
      </c>
      <c r="C247" s="9">
        <f>Cranebritries</f>
        <v>0</v>
      </c>
      <c r="D247" s="21" t="s">
        <v>721</v>
      </c>
      <c r="E247" s="21" t="s">
        <v>247</v>
      </c>
      <c r="F247" s="19">
        <f>de_Bruinnewpts</f>
        <v>0</v>
      </c>
    </row>
    <row r="248" spans="1:6" ht="14.95" customHeight="1" thickBot="1" x14ac:dyDescent="0.3">
      <c r="A248" s="8" t="s">
        <v>658</v>
      </c>
      <c r="B248" s="8" t="s">
        <v>80</v>
      </c>
      <c r="C248" s="9">
        <f>Dentonglotries</f>
        <v>0</v>
      </c>
      <c r="D248" s="21" t="s">
        <v>534</v>
      </c>
      <c r="E248" s="21" t="s">
        <v>247</v>
      </c>
      <c r="F248" s="19">
        <f>de_ChavesNEWpts</f>
        <v>0</v>
      </c>
    </row>
    <row r="249" spans="1:6" ht="14.95" customHeight="1" thickBot="1" x14ac:dyDescent="0.3">
      <c r="A249" s="9" t="s">
        <v>781</v>
      </c>
      <c r="B249" s="9" t="s">
        <v>322</v>
      </c>
      <c r="C249" s="9">
        <f>Elliottsartries</f>
        <v>0</v>
      </c>
      <c r="D249" s="21" t="s">
        <v>162</v>
      </c>
      <c r="E249" s="21" t="s">
        <v>83</v>
      </c>
      <c r="F249" s="19">
        <f>Dingwallnorpts</f>
        <v>0</v>
      </c>
    </row>
    <row r="250" spans="1:6" ht="14.95" customHeight="1" thickBot="1" x14ac:dyDescent="0.3">
      <c r="A250" s="9" t="s">
        <v>812</v>
      </c>
      <c r="B250" s="9" t="s">
        <v>92</v>
      </c>
      <c r="C250" s="9">
        <f>Elizaldebritries</f>
        <v>0</v>
      </c>
      <c r="D250" s="19" t="s">
        <v>718</v>
      </c>
      <c r="E250" s="19" t="s">
        <v>247</v>
      </c>
      <c r="F250" s="19">
        <f>Dohertynewpts</f>
        <v>0</v>
      </c>
    </row>
    <row r="251" spans="1:6" ht="14.95" customHeight="1" thickBot="1" x14ac:dyDescent="0.3">
      <c r="A251" s="8" t="s">
        <v>697</v>
      </c>
      <c r="B251" s="8" t="s">
        <v>247</v>
      </c>
      <c r="C251" s="9">
        <f>du_Plessissartries</f>
        <v>0</v>
      </c>
      <c r="D251" s="19" t="s">
        <v>861</v>
      </c>
      <c r="E251" s="21" t="s">
        <v>82</v>
      </c>
      <c r="F251" s="19">
        <f>Donoghuebthpts</f>
        <v>0</v>
      </c>
    </row>
    <row r="252" spans="1:6" ht="14.95" customHeight="1" thickBot="1" x14ac:dyDescent="0.3">
      <c r="A252" s="8" t="s">
        <v>451</v>
      </c>
      <c r="B252" s="8" t="s">
        <v>322</v>
      </c>
      <c r="C252" s="9">
        <f>farrellsartriescorrect</f>
        <v>0</v>
      </c>
      <c r="D252" s="21" t="s">
        <v>674</v>
      </c>
      <c r="E252" s="21" t="s">
        <v>89</v>
      </c>
      <c r="F252" s="19">
        <f>Edwardsharpts</f>
        <v>0</v>
      </c>
    </row>
    <row r="253" spans="1:6" ht="14.95" customHeight="1" thickBot="1" x14ac:dyDescent="0.3">
      <c r="A253" s="9" t="s">
        <v>242</v>
      </c>
      <c r="B253" s="9" t="s">
        <v>89</v>
      </c>
      <c r="C253" s="9">
        <f>Evans_Ohartries</f>
        <v>0</v>
      </c>
      <c r="D253" s="19" t="s">
        <v>182</v>
      </c>
      <c r="E253" s="21" t="s">
        <v>81</v>
      </c>
      <c r="F253" s="19">
        <f>du_Preez_Dsalpts</f>
        <v>0</v>
      </c>
    </row>
    <row r="254" spans="1:6" ht="14.95" customHeight="1" thickBot="1" x14ac:dyDescent="0.3">
      <c r="A254" s="8" t="s">
        <v>805</v>
      </c>
      <c r="B254" s="8" t="s">
        <v>82</v>
      </c>
      <c r="C254" s="9">
        <f>Emensbthtries</f>
        <v>0</v>
      </c>
      <c r="D254" s="21" t="s">
        <v>362</v>
      </c>
      <c r="E254" s="21" t="s">
        <v>81</v>
      </c>
      <c r="F254" s="19">
        <f>Dugdalesalpts</f>
        <v>0</v>
      </c>
    </row>
    <row r="255" spans="1:6" ht="14.95" customHeight="1" thickBot="1" x14ac:dyDescent="0.3">
      <c r="A255" s="8" t="s">
        <v>517</v>
      </c>
      <c r="B255" s="8" t="s">
        <v>81</v>
      </c>
      <c r="C255" s="9">
        <f>EneSALtries</f>
        <v>0</v>
      </c>
      <c r="D255" s="21" t="s">
        <v>552</v>
      </c>
      <c r="E255" s="21" t="s">
        <v>92</v>
      </c>
      <c r="F255" s="19">
        <f>cranebripts</f>
        <v>0</v>
      </c>
    </row>
    <row r="256" spans="1:6" ht="14.95" customHeight="1" thickBot="1" x14ac:dyDescent="0.3">
      <c r="A256" s="8" t="s">
        <v>591</v>
      </c>
      <c r="B256" s="8" t="s">
        <v>80</v>
      </c>
      <c r="C256" s="6">
        <f>Englefieldglotries</f>
        <v>0</v>
      </c>
      <c r="D256" s="21" t="s">
        <v>658</v>
      </c>
      <c r="E256" s="21" t="s">
        <v>80</v>
      </c>
      <c r="F256" s="19">
        <f>Dentonglopts</f>
        <v>0</v>
      </c>
    </row>
    <row r="257" spans="1:6" ht="14.95" customHeight="1" thickBot="1" x14ac:dyDescent="0.3">
      <c r="A257" s="8" t="s">
        <v>525</v>
      </c>
      <c r="B257" s="8" t="s">
        <v>89</v>
      </c>
      <c r="C257" s="9">
        <f>Evans_Jhartriescorrect</f>
        <v>0</v>
      </c>
      <c r="D257" s="21" t="s">
        <v>781</v>
      </c>
      <c r="E257" s="21" t="s">
        <v>322</v>
      </c>
      <c r="F257" s="19">
        <f>Elliottsarpts</f>
        <v>0</v>
      </c>
    </row>
    <row r="258" spans="1:6" ht="14.95" customHeight="1" thickBot="1" x14ac:dyDescent="0.3">
      <c r="A258" s="8" t="s">
        <v>112</v>
      </c>
      <c r="B258" s="8" t="s">
        <v>82</v>
      </c>
      <c r="C258" s="9">
        <f>ewelsbthtries</f>
        <v>0</v>
      </c>
      <c r="D258" s="19" t="s">
        <v>812</v>
      </c>
      <c r="E258" s="21" t="s">
        <v>92</v>
      </c>
      <c r="F258" s="19">
        <f>Elizaldebtipts</f>
        <v>0</v>
      </c>
    </row>
    <row r="259" spans="1:6" ht="14.95" customHeight="1" thickBot="1" x14ac:dyDescent="0.3">
      <c r="A259" s="8" t="s">
        <v>1026</v>
      </c>
      <c r="B259" s="8" t="s">
        <v>322</v>
      </c>
      <c r="C259" s="9">
        <f>Farrellsartriessecondspell</f>
        <v>0</v>
      </c>
      <c r="D259" s="21" t="s">
        <v>697</v>
      </c>
      <c r="E259" s="21" t="s">
        <v>247</v>
      </c>
      <c r="F259" s="19">
        <f>du_Plessissarpts</f>
        <v>0</v>
      </c>
    </row>
    <row r="260" spans="1:6" ht="14.95" customHeight="1" thickBot="1" x14ac:dyDescent="0.3">
      <c r="A260" s="8" t="s">
        <v>474</v>
      </c>
      <c r="B260" s="8" t="s">
        <v>247</v>
      </c>
      <c r="C260" s="9">
        <f>Fusernewtries</f>
        <v>0</v>
      </c>
      <c r="D260" s="21" t="s">
        <v>451</v>
      </c>
      <c r="E260" s="21" t="s">
        <v>322</v>
      </c>
      <c r="F260" s="19">
        <f>Farrellsarptscorrect</f>
        <v>0</v>
      </c>
    </row>
    <row r="261" spans="1:6" ht="14.95" customHeight="1" thickBot="1" x14ac:dyDescent="0.3">
      <c r="A261" s="8" t="s">
        <v>485</v>
      </c>
      <c r="B261" s="8" t="s">
        <v>81</v>
      </c>
      <c r="C261" s="9">
        <f>Fordgeorgesaltries</f>
        <v>0</v>
      </c>
      <c r="D261" s="19" t="s">
        <v>242</v>
      </c>
      <c r="E261" s="19" t="s">
        <v>89</v>
      </c>
      <c r="F261" s="19">
        <f>Evans_Oharpts</f>
        <v>0</v>
      </c>
    </row>
    <row r="262" spans="1:6" ht="14.95" customHeight="1" thickBot="1" x14ac:dyDescent="0.3">
      <c r="A262" s="8" t="s">
        <v>113</v>
      </c>
      <c r="B262" s="8" t="s">
        <v>80</v>
      </c>
      <c r="C262" s="9">
        <f>Ford_Robinsonglotries</f>
        <v>0</v>
      </c>
      <c r="D262" s="21" t="s">
        <v>805</v>
      </c>
      <c r="E262" s="21" t="s">
        <v>82</v>
      </c>
      <c r="F262" s="19">
        <f>Emensbthpts</f>
        <v>0</v>
      </c>
    </row>
    <row r="263" spans="1:6" ht="14.95" customHeight="1" thickBot="1" x14ac:dyDescent="0.3">
      <c r="A263" s="8" t="s">
        <v>230</v>
      </c>
      <c r="B263" s="8" t="s">
        <v>82</v>
      </c>
      <c r="C263" s="9">
        <f>Fotuali_ibthtries</f>
        <v>0</v>
      </c>
      <c r="D263" s="21" t="s">
        <v>517</v>
      </c>
      <c r="E263" s="21" t="s">
        <v>81</v>
      </c>
      <c r="F263" s="19">
        <f>EneSALpts</f>
        <v>0</v>
      </c>
    </row>
    <row r="264" spans="1:6" ht="14.95" customHeight="1" thickBot="1" x14ac:dyDescent="0.3">
      <c r="A264" s="8" t="s">
        <v>1064</v>
      </c>
      <c r="B264" s="8" t="s">
        <v>80</v>
      </c>
      <c r="C264" s="9">
        <f>freemanpriceglotries</f>
        <v>0</v>
      </c>
      <c r="D264" s="357" t="s">
        <v>591</v>
      </c>
      <c r="E264" s="357" t="s">
        <v>80</v>
      </c>
      <c r="F264" s="19">
        <f>Englefieldglopts</f>
        <v>0</v>
      </c>
    </row>
    <row r="265" spans="1:6" ht="14.95" customHeight="1" thickBot="1" x14ac:dyDescent="0.3">
      <c r="A265" s="8" t="s">
        <v>325</v>
      </c>
      <c r="B265" s="8" t="s">
        <v>322</v>
      </c>
      <c r="C265" s="9">
        <f>Georgesartriescorrect</f>
        <v>0</v>
      </c>
      <c r="D265" s="21" t="s">
        <v>112</v>
      </c>
      <c r="E265" s="21" t="s">
        <v>82</v>
      </c>
      <c r="F265" s="19">
        <f>Ewelsbthpts</f>
        <v>0</v>
      </c>
    </row>
    <row r="266" spans="1:6" ht="14.95" customHeight="1" thickBot="1" x14ac:dyDescent="0.3">
      <c r="A266" s="8" t="s">
        <v>511</v>
      </c>
      <c r="B266" s="8" t="s">
        <v>83</v>
      </c>
      <c r="C266" s="9">
        <f>GlisterNORtries</f>
        <v>0</v>
      </c>
      <c r="D266" s="21" t="s">
        <v>474</v>
      </c>
      <c r="E266" s="21" t="s">
        <v>247</v>
      </c>
      <c r="F266" s="19">
        <f>Fusernewpts</f>
        <v>0</v>
      </c>
    </row>
    <row r="267" spans="1:6" ht="14.95" customHeight="1" thickBot="1" x14ac:dyDescent="0.3">
      <c r="A267" s="8" t="s">
        <v>647</v>
      </c>
      <c r="B267" s="8" t="s">
        <v>90</v>
      </c>
      <c r="C267" s="9">
        <f>Grayexetries</f>
        <v>0</v>
      </c>
      <c r="D267" s="21" t="s">
        <v>113</v>
      </c>
      <c r="E267" s="21" t="s">
        <v>80</v>
      </c>
      <c r="F267" s="19">
        <f>Ford_Robinsonglopts</f>
        <v>0</v>
      </c>
    </row>
    <row r="268" spans="1:6" ht="14.95" customHeight="1" thickBot="1" x14ac:dyDescent="0.3">
      <c r="A268" s="8" t="s">
        <v>725</v>
      </c>
      <c r="B268" s="8" t="s">
        <v>247</v>
      </c>
      <c r="C268" s="9">
        <f>Gordonnewtries</f>
        <v>0</v>
      </c>
      <c r="D268" s="21" t="s">
        <v>230</v>
      </c>
      <c r="E268" s="21" t="s">
        <v>82</v>
      </c>
      <c r="F268" s="19">
        <f>Fotuali_ibthpts</f>
        <v>0</v>
      </c>
    </row>
    <row r="269" spans="1:6" ht="14.95" customHeight="1" thickBot="1" x14ac:dyDescent="0.3">
      <c r="A269" s="8" t="s">
        <v>655</v>
      </c>
      <c r="B269" s="8" t="s">
        <v>80</v>
      </c>
      <c r="C269" s="9">
        <f>Halaifonuaglotries</f>
        <v>0</v>
      </c>
      <c r="D269" s="19" t="s">
        <v>1064</v>
      </c>
      <c r="E269" s="19" t="s">
        <v>80</v>
      </c>
      <c r="F269" s="19">
        <f>freemanpriceglopts</f>
        <v>0</v>
      </c>
    </row>
    <row r="270" spans="1:6" ht="14.95" customHeight="1" thickBot="1" x14ac:dyDescent="0.3">
      <c r="A270" s="8" t="s">
        <v>434</v>
      </c>
      <c r="B270" s="8" t="s">
        <v>83</v>
      </c>
      <c r="C270" s="9">
        <f>Gillespienortries</f>
        <v>0</v>
      </c>
      <c r="D270" s="21" t="s">
        <v>325</v>
      </c>
      <c r="E270" s="21" t="s">
        <v>322</v>
      </c>
      <c r="F270" s="19">
        <f>Georgesarptscorrect</f>
        <v>0</v>
      </c>
    </row>
    <row r="271" spans="1:6" ht="14.95" customHeight="1" thickBot="1" x14ac:dyDescent="0.3">
      <c r="A271" s="8" t="s">
        <v>622</v>
      </c>
      <c r="B271" s="8" t="s">
        <v>92</v>
      </c>
      <c r="C271" s="9">
        <f>Grahamslawbritries</f>
        <v>0</v>
      </c>
      <c r="D271" s="21" t="s">
        <v>511</v>
      </c>
      <c r="E271" s="21" t="s">
        <v>83</v>
      </c>
      <c r="F271" s="18">
        <f>GlisterNORpts</f>
        <v>0</v>
      </c>
    </row>
    <row r="272" spans="1:6" ht="14.95" customHeight="1" thickBot="1" x14ac:dyDescent="0.3">
      <c r="A272" s="8" t="s">
        <v>414</v>
      </c>
      <c r="B272" s="8" t="s">
        <v>89</v>
      </c>
      <c r="C272" s="9">
        <f>Grayjoehartries</f>
        <v>0</v>
      </c>
      <c r="D272" s="21" t="s">
        <v>647</v>
      </c>
      <c r="E272" s="21" t="s">
        <v>90</v>
      </c>
      <c r="F272" s="19">
        <f>Grayexepts</f>
        <v>0</v>
      </c>
    </row>
    <row r="273" spans="1:6" ht="14.95" customHeight="1" thickBot="1" x14ac:dyDescent="0.3">
      <c r="A273" s="8" t="s">
        <v>892</v>
      </c>
      <c r="B273" s="8" t="s">
        <v>83</v>
      </c>
      <c r="C273" s="9">
        <f>Greennortries</f>
        <v>0</v>
      </c>
      <c r="D273" s="21" t="s">
        <v>725</v>
      </c>
      <c r="E273" s="21" t="s">
        <v>247</v>
      </c>
      <c r="F273" s="19">
        <f>Gordonnewpts</f>
        <v>0</v>
      </c>
    </row>
    <row r="274" spans="1:6" ht="14.95" customHeight="1" thickBot="1" x14ac:dyDescent="0.3">
      <c r="A274" s="9" t="s">
        <v>701</v>
      </c>
      <c r="B274" s="9" t="s">
        <v>247</v>
      </c>
      <c r="C274" s="9">
        <f>Farrellowentries</f>
        <v>0</v>
      </c>
      <c r="D274" s="21" t="s">
        <v>655</v>
      </c>
      <c r="E274" s="21" t="s">
        <v>80</v>
      </c>
      <c r="F274" s="19">
        <f>Halaifonuaglopts</f>
        <v>0</v>
      </c>
    </row>
    <row r="275" spans="1:6" ht="14.95" customHeight="1" thickBot="1" x14ac:dyDescent="0.3">
      <c r="A275" s="9" t="s">
        <v>623</v>
      </c>
      <c r="B275" s="9" t="s">
        <v>92</v>
      </c>
      <c r="C275" s="9">
        <f>Grondona_Bbritries</f>
        <v>0</v>
      </c>
      <c r="D275" s="21" t="s">
        <v>434</v>
      </c>
      <c r="E275" s="21" t="s">
        <v>83</v>
      </c>
      <c r="F275" s="18">
        <f>Gillespienorpts</f>
        <v>0</v>
      </c>
    </row>
    <row r="276" spans="1:6" ht="14.95" customHeight="1" thickBot="1" x14ac:dyDescent="0.3">
      <c r="A276" s="8" t="s">
        <v>645</v>
      </c>
      <c r="B276" s="8" t="s">
        <v>92</v>
      </c>
      <c r="C276" s="48">
        <f>Gwilliambritries</f>
        <v>0</v>
      </c>
      <c r="D276" s="21" t="s">
        <v>622</v>
      </c>
      <c r="E276" s="21" t="s">
        <v>92</v>
      </c>
      <c r="F276" s="19">
        <f>Grahamslawbripts</f>
        <v>0</v>
      </c>
    </row>
    <row r="277" spans="1:6" ht="14.95" customHeight="1" thickBot="1" x14ac:dyDescent="0.3">
      <c r="A277" s="8" t="s">
        <v>578</v>
      </c>
      <c r="B277" s="8" t="s">
        <v>322</v>
      </c>
      <c r="C277" s="9">
        <f>Hadfieldsartries</f>
        <v>0</v>
      </c>
      <c r="D277" s="21" t="s">
        <v>414</v>
      </c>
      <c r="E277" s="21" t="s">
        <v>89</v>
      </c>
      <c r="F277" s="19">
        <f>Grayjoeharpts</f>
        <v>0</v>
      </c>
    </row>
    <row r="278" spans="1:6" ht="14.95" customHeight="1" thickBot="1" x14ac:dyDescent="0.3">
      <c r="A278" s="8" t="s">
        <v>727</v>
      </c>
      <c r="B278" s="9" t="s">
        <v>544</v>
      </c>
      <c r="C278" s="48">
        <f>Diaz_Bonilla_Jleictries</f>
        <v>0</v>
      </c>
      <c r="D278" s="21" t="s">
        <v>892</v>
      </c>
      <c r="E278" s="21" t="s">
        <v>83</v>
      </c>
      <c r="F278" s="19">
        <f>Greennorpts</f>
        <v>0</v>
      </c>
    </row>
    <row r="279" spans="1:6" ht="14.95" customHeight="1" thickBot="1" x14ac:dyDescent="0.3">
      <c r="A279" s="8" t="s">
        <v>116</v>
      </c>
      <c r="B279" s="8" t="s">
        <v>92</v>
      </c>
      <c r="C279" s="9">
        <f>Fenbylitries</f>
        <v>0</v>
      </c>
      <c r="D279" s="19" t="s">
        <v>701</v>
      </c>
      <c r="E279" s="19" t="s">
        <v>247</v>
      </c>
      <c r="F279" s="19">
        <f>Farrellsarpts</f>
        <v>0</v>
      </c>
    </row>
    <row r="280" spans="1:6" ht="14.95" customHeight="1" thickBot="1" x14ac:dyDescent="0.3">
      <c r="A280" s="8" t="s">
        <v>828</v>
      </c>
      <c r="B280" s="8" t="s">
        <v>322</v>
      </c>
      <c r="C280" s="9">
        <f>Hallsartries</f>
        <v>0</v>
      </c>
      <c r="D280" s="19" t="s">
        <v>623</v>
      </c>
      <c r="E280" s="19" t="s">
        <v>92</v>
      </c>
      <c r="F280" s="19">
        <f>Grondona_Bbripts</f>
        <v>0</v>
      </c>
    </row>
    <row r="281" spans="1:6" ht="14.95" customHeight="1" thickBot="1" x14ac:dyDescent="0.3">
      <c r="A281" s="8" t="s">
        <v>637</v>
      </c>
      <c r="B281" s="8" t="s">
        <v>92</v>
      </c>
      <c r="C281" s="9">
        <f>Halliwellbritries</f>
        <v>0</v>
      </c>
      <c r="D281" s="21" t="s">
        <v>645</v>
      </c>
      <c r="E281" s="21" t="s">
        <v>92</v>
      </c>
      <c r="F281" s="19">
        <f>Gwilliambripts</f>
        <v>0</v>
      </c>
    </row>
    <row r="282" spans="1:6" ht="14.95" customHeight="1" thickBot="1" x14ac:dyDescent="0.3">
      <c r="A282" s="8" t="s">
        <v>830</v>
      </c>
      <c r="B282" s="8" t="s">
        <v>322</v>
      </c>
      <c r="C282" s="9">
        <f>Hammicksartries</f>
        <v>0</v>
      </c>
      <c r="D282" s="19" t="s">
        <v>578</v>
      </c>
      <c r="E282" s="19" t="s">
        <v>322</v>
      </c>
      <c r="F282" s="19">
        <f>Hadfieldsarpts</f>
        <v>0</v>
      </c>
    </row>
    <row r="283" spans="1:6" ht="14.95" customHeight="1" thickBot="1" x14ac:dyDescent="0.3">
      <c r="A283" s="9" t="s">
        <v>400</v>
      </c>
      <c r="B283" s="9" t="s">
        <v>81</v>
      </c>
      <c r="C283" s="9">
        <f>Harpersaltries</f>
        <v>0</v>
      </c>
      <c r="D283" s="21" t="s">
        <v>727</v>
      </c>
      <c r="E283" s="21" t="s">
        <v>544</v>
      </c>
      <c r="F283" s="19">
        <f>Diaz_Bonilla_Jleicpts</f>
        <v>0</v>
      </c>
    </row>
    <row r="284" spans="1:6" ht="14.95" customHeight="1" thickBot="1" x14ac:dyDescent="0.3">
      <c r="A284" s="8" t="s">
        <v>465</v>
      </c>
      <c r="B284" s="8" t="s">
        <v>82</v>
      </c>
      <c r="C284" s="9">
        <f>Harrisbthtries</f>
        <v>0</v>
      </c>
      <c r="D284" s="21" t="s">
        <v>116</v>
      </c>
      <c r="E284" s="21" t="s">
        <v>92</v>
      </c>
      <c r="F284" s="19">
        <f>Fenbylipts</f>
        <v>0</v>
      </c>
    </row>
    <row r="285" spans="1:6" ht="14.95" customHeight="1" thickBot="1" x14ac:dyDescent="0.3">
      <c r="A285" s="8" t="s">
        <v>91</v>
      </c>
      <c r="B285" s="8" t="s">
        <v>81</v>
      </c>
      <c r="C285" s="9">
        <f>Harrisonsaltris</f>
        <v>0</v>
      </c>
      <c r="D285" s="21" t="s">
        <v>828</v>
      </c>
      <c r="E285" s="21" t="s">
        <v>322</v>
      </c>
      <c r="F285" s="19">
        <f>Hallsarpts</f>
        <v>0</v>
      </c>
    </row>
    <row r="286" spans="1:6" ht="14.95" customHeight="1" thickBot="1" x14ac:dyDescent="0.3">
      <c r="A286" s="8" t="s">
        <v>446</v>
      </c>
      <c r="B286" s="8" t="s">
        <v>322</v>
      </c>
      <c r="C286" s="9">
        <f>Hartleysartries</f>
        <v>0</v>
      </c>
      <c r="D286" s="21" t="s">
        <v>637</v>
      </c>
      <c r="E286" s="21" t="s">
        <v>92</v>
      </c>
      <c r="F286" s="19">
        <f>Halliwellbripts</f>
        <v>0</v>
      </c>
    </row>
    <row r="287" spans="1:6" ht="14.95" customHeight="1" thickBot="1" x14ac:dyDescent="0.3">
      <c r="A287" s="8" t="s">
        <v>631</v>
      </c>
      <c r="B287" s="8" t="s">
        <v>92</v>
      </c>
      <c r="C287" s="9">
        <f>Fenbylitries</f>
        <v>0</v>
      </c>
      <c r="D287" s="21" t="s">
        <v>830</v>
      </c>
      <c r="E287" s="21" t="s">
        <v>322</v>
      </c>
      <c r="F287" s="19">
        <f>Hammicksarpts</f>
        <v>0</v>
      </c>
    </row>
    <row r="288" spans="1:6" ht="14.95" customHeight="1" thickBot="1" x14ac:dyDescent="0.3">
      <c r="A288" s="9" t="s">
        <v>702</v>
      </c>
      <c r="B288" s="9" t="s">
        <v>247</v>
      </c>
      <c r="C288" s="9">
        <f>Haydon_Woodnewtries</f>
        <v>0</v>
      </c>
      <c r="D288" s="19" t="s">
        <v>400</v>
      </c>
      <c r="E288" s="21" t="s">
        <v>81</v>
      </c>
      <c r="F288" s="19">
        <f>Harpersalpts</f>
        <v>0</v>
      </c>
    </row>
    <row r="289" spans="1:6" ht="14.95" customHeight="1" thickBot="1" x14ac:dyDescent="0.3">
      <c r="A289" s="8" t="s">
        <v>500</v>
      </c>
      <c r="B289" s="8" t="s">
        <v>90</v>
      </c>
      <c r="C289" s="9">
        <f>Haydon_WoodEXEtries</f>
        <v>0</v>
      </c>
      <c r="D289" s="21" t="s">
        <v>465</v>
      </c>
      <c r="E289" s="21" t="s">
        <v>82</v>
      </c>
      <c r="F289" s="19">
        <f>Harrisbthpts</f>
        <v>0</v>
      </c>
    </row>
    <row r="290" spans="1:6" ht="14.95" customHeight="1" thickBot="1" x14ac:dyDescent="0.3">
      <c r="A290" s="8" t="s">
        <v>1102</v>
      </c>
      <c r="B290" s="8" t="s">
        <v>90</v>
      </c>
      <c r="C290" s="9">
        <f>Heavenexetries</f>
        <v>0</v>
      </c>
      <c r="D290" s="21" t="s">
        <v>1102</v>
      </c>
      <c r="E290" s="21" t="s">
        <v>90</v>
      </c>
      <c r="F290" s="19">
        <f>Heavenexepts</f>
        <v>0</v>
      </c>
    </row>
    <row r="291" spans="1:6" ht="14.95" customHeight="1" thickBot="1" x14ac:dyDescent="0.3">
      <c r="A291" s="8" t="s">
        <v>832</v>
      </c>
      <c r="B291" s="8" t="s">
        <v>82</v>
      </c>
      <c r="C291" s="9">
        <f>HennesseyBTHtries</f>
        <v>0</v>
      </c>
      <c r="D291" s="21" t="s">
        <v>91</v>
      </c>
      <c r="E291" s="21" t="s">
        <v>81</v>
      </c>
      <c r="F291" s="19">
        <f>Harrisonsalpts</f>
        <v>0</v>
      </c>
    </row>
    <row r="292" spans="1:6" ht="14.95" customHeight="1" thickBot="1" x14ac:dyDescent="0.3">
      <c r="A292" s="8" t="s">
        <v>388</v>
      </c>
      <c r="B292" s="8" t="s">
        <v>80</v>
      </c>
      <c r="C292" s="9">
        <f>Hillman_Cooperglotries</f>
        <v>0</v>
      </c>
      <c r="D292" s="21" t="s">
        <v>446</v>
      </c>
      <c r="E292" s="21" t="s">
        <v>322</v>
      </c>
      <c r="F292" s="20">
        <f>Hartleysarpts</f>
        <v>0</v>
      </c>
    </row>
    <row r="293" spans="1:6" ht="14.95" customHeight="1" thickBot="1" x14ac:dyDescent="0.3">
      <c r="A293" s="8" t="s">
        <v>856</v>
      </c>
      <c r="B293" s="8" t="s">
        <v>89</v>
      </c>
      <c r="C293" s="9">
        <f>Hobsonhartries</f>
        <v>0</v>
      </c>
      <c r="D293" s="21" t="s">
        <v>631</v>
      </c>
      <c r="E293" s="21" t="s">
        <v>92</v>
      </c>
      <c r="F293" s="19">
        <f>Fenbylipts</f>
        <v>0</v>
      </c>
    </row>
    <row r="294" spans="1:6" ht="14.95" customHeight="1" thickBot="1" x14ac:dyDescent="0.3">
      <c r="A294" s="8" t="s">
        <v>220</v>
      </c>
      <c r="B294" s="8" t="s">
        <v>90</v>
      </c>
      <c r="C294" s="9">
        <f>Hodgeexetries</f>
        <v>0</v>
      </c>
      <c r="D294" s="19" t="s">
        <v>702</v>
      </c>
      <c r="E294" s="19" t="s">
        <v>247</v>
      </c>
      <c r="F294" s="19">
        <f>Haydon_Woodnewpts</f>
        <v>0</v>
      </c>
    </row>
    <row r="295" spans="1:6" ht="14.95" customHeight="1" thickBot="1" x14ac:dyDescent="0.3">
      <c r="A295" s="8" t="s">
        <v>1011</v>
      </c>
      <c r="B295" s="8" t="s">
        <v>81</v>
      </c>
      <c r="C295" s="9">
        <f>Hill_Jsaltries</f>
        <v>0</v>
      </c>
      <c r="D295" s="21" t="s">
        <v>500</v>
      </c>
      <c r="E295" s="21" t="s">
        <v>90</v>
      </c>
      <c r="F295" s="19">
        <f>Haywood_WoodEXEpts</f>
        <v>0</v>
      </c>
    </row>
    <row r="296" spans="1:6" ht="14.95" customHeight="1" thickBot="1" x14ac:dyDescent="0.3">
      <c r="A296" s="8" t="s">
        <v>765</v>
      </c>
      <c r="B296" s="8" t="s">
        <v>322</v>
      </c>
      <c r="C296" s="9">
        <f>Hunter_Hillsartriescorrect</f>
        <v>0</v>
      </c>
      <c r="D296" s="21" t="s">
        <v>832</v>
      </c>
      <c r="E296" s="21" t="s">
        <v>82</v>
      </c>
      <c r="F296" s="19">
        <f>HennesseyBTHpts</f>
        <v>0</v>
      </c>
    </row>
    <row r="297" spans="1:6" ht="14.95" customHeight="1" thickBot="1" x14ac:dyDescent="0.3">
      <c r="A297" s="8" t="s">
        <v>343</v>
      </c>
      <c r="B297" s="9" t="s">
        <v>544</v>
      </c>
      <c r="C297" s="9">
        <f>Hurdleictries</f>
        <v>0</v>
      </c>
      <c r="D297" s="21" t="s">
        <v>388</v>
      </c>
      <c r="E297" s="21" t="s">
        <v>80</v>
      </c>
      <c r="F297" s="19">
        <f>Hillman_Cooperglopts</f>
        <v>0</v>
      </c>
    </row>
    <row r="298" spans="1:6" ht="14.95" customHeight="1" thickBot="1" x14ac:dyDescent="0.3">
      <c r="A298" s="8" t="s">
        <v>117</v>
      </c>
      <c r="B298" s="8" t="s">
        <v>83</v>
      </c>
      <c r="C298" s="9">
        <f>Hutchinsonnortries</f>
        <v>0</v>
      </c>
      <c r="D298" s="21" t="s">
        <v>856</v>
      </c>
      <c r="E298" s="21" t="s">
        <v>89</v>
      </c>
      <c r="F298" s="19">
        <f>Hobsonharpts</f>
        <v>0</v>
      </c>
    </row>
    <row r="299" spans="1:6" ht="14.95" customHeight="1" thickBot="1" x14ac:dyDescent="0.3">
      <c r="A299" s="8" t="s">
        <v>1069</v>
      </c>
      <c r="B299" s="8" t="s">
        <v>917</v>
      </c>
      <c r="C299" s="9">
        <f>Hutchisonnrbtries</f>
        <v>0</v>
      </c>
      <c r="D299" s="21" t="s">
        <v>1011</v>
      </c>
      <c r="E299" s="21" t="s">
        <v>81</v>
      </c>
      <c r="F299" s="19">
        <f>Hill_Jsalpts</f>
        <v>0</v>
      </c>
    </row>
    <row r="300" spans="1:6" ht="14.95" customHeight="1" thickBot="1" x14ac:dyDescent="0.3">
      <c r="A300" s="8" t="s">
        <v>807</v>
      </c>
      <c r="B300" s="8" t="s">
        <v>89</v>
      </c>
      <c r="C300" s="9">
        <f>Hydehartries</f>
        <v>0</v>
      </c>
      <c r="D300" s="21" t="s">
        <v>765</v>
      </c>
      <c r="E300" s="21" t="s">
        <v>322</v>
      </c>
      <c r="F300" s="19">
        <f>Hunter_Hillsarptscorrect</f>
        <v>0</v>
      </c>
    </row>
    <row r="301" spans="1:6" ht="14.95" customHeight="1" thickBot="1" x14ac:dyDescent="0.3">
      <c r="A301" s="8" t="s">
        <v>341</v>
      </c>
      <c r="B301" s="8" t="s">
        <v>90</v>
      </c>
      <c r="C301" s="9">
        <f>Iosefa_Scottexetries</f>
        <v>0</v>
      </c>
      <c r="D301" s="21" t="s">
        <v>343</v>
      </c>
      <c r="E301" s="21" t="s">
        <v>544</v>
      </c>
      <c r="F301" s="19">
        <f>Hurdleicpts</f>
        <v>0</v>
      </c>
    </row>
    <row r="302" spans="1:6" ht="14.95" customHeight="1" thickBot="1" x14ac:dyDescent="0.3">
      <c r="A302" s="8" t="s">
        <v>328</v>
      </c>
      <c r="B302" s="8" t="s">
        <v>322</v>
      </c>
      <c r="C302" s="9">
        <f>Itojesartriescorrect</f>
        <v>0</v>
      </c>
      <c r="D302" s="21" t="s">
        <v>117</v>
      </c>
      <c r="E302" s="21" t="s">
        <v>83</v>
      </c>
      <c r="F302" s="19">
        <f>Hutchinsonnorpts</f>
        <v>0</v>
      </c>
    </row>
    <row r="303" spans="1:6" ht="14.95" customHeight="1" thickBot="1" x14ac:dyDescent="0.3">
      <c r="A303" s="8" t="s">
        <v>595</v>
      </c>
      <c r="B303" s="8" t="s">
        <v>83</v>
      </c>
      <c r="C303" s="9">
        <f>Irvinenortries</f>
        <v>0</v>
      </c>
      <c r="D303" s="21" t="s">
        <v>1069</v>
      </c>
      <c r="E303" s="21" t="s">
        <v>917</v>
      </c>
      <c r="F303" s="19">
        <f>Hutchisonnrbpts</f>
        <v>0</v>
      </c>
    </row>
    <row r="304" spans="1:6" ht="14.95" customHeight="1" thickBot="1" x14ac:dyDescent="0.3">
      <c r="A304" s="8" t="s">
        <v>1061</v>
      </c>
      <c r="B304" s="8" t="s">
        <v>80</v>
      </c>
      <c r="C304" s="9">
        <f>jamesglotries</f>
        <v>0</v>
      </c>
      <c r="D304" s="21" t="s">
        <v>807</v>
      </c>
      <c r="E304" s="21" t="s">
        <v>89</v>
      </c>
      <c r="F304" s="19">
        <f>Hydeharpts</f>
        <v>0</v>
      </c>
    </row>
    <row r="305" spans="1:6" ht="14.95" customHeight="1" thickBot="1" x14ac:dyDescent="0.3">
      <c r="A305" s="8" t="s">
        <v>1093</v>
      </c>
      <c r="B305" s="8" t="s">
        <v>90</v>
      </c>
      <c r="C305" s="9">
        <f>Jamesexetries</f>
        <v>0</v>
      </c>
      <c r="D305" s="21" t="s">
        <v>341</v>
      </c>
      <c r="E305" s="21" t="s">
        <v>90</v>
      </c>
      <c r="F305" s="19">
        <f>Iosefa_Scottexepts</f>
        <v>0</v>
      </c>
    </row>
    <row r="306" spans="1:6" ht="14.95" customHeight="1" thickBot="1" x14ac:dyDescent="0.3">
      <c r="A306" s="8" t="s">
        <v>272</v>
      </c>
      <c r="B306" s="8" t="s">
        <v>83</v>
      </c>
      <c r="C306" s="9">
        <f>Jamesnortries</f>
        <v>0</v>
      </c>
      <c r="D306" s="21" t="s">
        <v>328</v>
      </c>
      <c r="E306" s="21" t="s">
        <v>322</v>
      </c>
      <c r="F306" s="19">
        <f>Itojesarptscorrect</f>
        <v>0</v>
      </c>
    </row>
    <row r="307" spans="1:6" ht="14.95" customHeight="1" thickBot="1" x14ac:dyDescent="0.3">
      <c r="A307" s="8" t="s">
        <v>575</v>
      </c>
      <c r="B307" s="8" t="s">
        <v>92</v>
      </c>
      <c r="C307" s="48">
        <f>Jeffriesbritriescorrect</f>
        <v>0</v>
      </c>
      <c r="D307" s="21" t="s">
        <v>595</v>
      </c>
      <c r="E307" s="21" t="s">
        <v>83</v>
      </c>
      <c r="F307" s="19">
        <f>Irvinenorpts</f>
        <v>0</v>
      </c>
    </row>
    <row r="308" spans="1:6" ht="14.95" customHeight="1" thickBot="1" x14ac:dyDescent="0.3">
      <c r="A308" s="8" t="s">
        <v>462</v>
      </c>
      <c r="B308" s="8" t="s">
        <v>90</v>
      </c>
      <c r="C308" s="9">
        <f>Jenkins_Dexetries</f>
        <v>0</v>
      </c>
      <c r="D308" s="21" t="s">
        <v>1061</v>
      </c>
      <c r="E308" s="21" t="s">
        <v>80</v>
      </c>
      <c r="F308" s="19">
        <f>jamesgloppts</f>
        <v>0</v>
      </c>
    </row>
    <row r="309" spans="1:6" ht="14.95" customHeight="1" thickBot="1" x14ac:dyDescent="0.3">
      <c r="A309" s="8" t="s">
        <v>461</v>
      </c>
      <c r="B309" s="8" t="s">
        <v>90</v>
      </c>
      <c r="C309" s="9">
        <f>Jenkins_Iexetries</f>
        <v>0</v>
      </c>
      <c r="D309" s="21" t="s">
        <v>1093</v>
      </c>
      <c r="E309" s="21" t="s">
        <v>90</v>
      </c>
      <c r="F309" s="19">
        <f>Jamesexepts</f>
        <v>0</v>
      </c>
    </row>
    <row r="310" spans="1:6" ht="14.95" customHeight="1" thickBot="1" x14ac:dyDescent="0.3">
      <c r="A310" s="8" t="s">
        <v>475</v>
      </c>
      <c r="B310" s="8" t="s">
        <v>92</v>
      </c>
      <c r="C310" s="9">
        <f>Jenkinsbritries</f>
        <v>0</v>
      </c>
      <c r="D310" s="21" t="s">
        <v>272</v>
      </c>
      <c r="E310" s="21" t="s">
        <v>83</v>
      </c>
      <c r="F310" s="19">
        <f>Jamesnorpts</f>
        <v>0</v>
      </c>
    </row>
    <row r="311" spans="1:6" ht="14.95" customHeight="1" thickBot="1" x14ac:dyDescent="0.3">
      <c r="A311" s="8" t="s">
        <v>633</v>
      </c>
      <c r="B311" s="8" t="s">
        <v>92</v>
      </c>
      <c r="C311" s="9">
        <f>Hearnlirtries</f>
        <v>0</v>
      </c>
      <c r="D311" s="21" t="s">
        <v>575</v>
      </c>
      <c r="E311" s="21" t="s">
        <v>92</v>
      </c>
      <c r="F311" s="19">
        <f>Jeffriesbriptscorrect</f>
        <v>0</v>
      </c>
    </row>
    <row r="312" spans="1:6" ht="14.95" customHeight="1" thickBot="1" x14ac:dyDescent="0.3">
      <c r="A312" s="8" t="s">
        <v>589</v>
      </c>
      <c r="B312" s="8" t="s">
        <v>90</v>
      </c>
      <c r="C312" s="9">
        <f>Johnexetries</f>
        <v>0</v>
      </c>
      <c r="D312" s="21" t="s">
        <v>462</v>
      </c>
      <c r="E312" s="21" t="s">
        <v>90</v>
      </c>
      <c r="F312" s="20">
        <f>Jenkins_Dexepts</f>
        <v>0</v>
      </c>
    </row>
    <row r="313" spans="1:6" ht="14.95" customHeight="1" thickBot="1" x14ac:dyDescent="0.3">
      <c r="A313" s="8" t="s">
        <v>761</v>
      </c>
      <c r="B313" s="8" t="s">
        <v>322</v>
      </c>
      <c r="C313" s="9">
        <f>Johnsonsartries</f>
        <v>0</v>
      </c>
      <c r="D313" s="21" t="s">
        <v>461</v>
      </c>
      <c r="E313" s="21" t="s">
        <v>90</v>
      </c>
      <c r="F313" s="20">
        <f>Jenkins_Iexepts</f>
        <v>0</v>
      </c>
    </row>
    <row r="314" spans="1:6" ht="14.95" customHeight="1" thickBot="1" x14ac:dyDescent="0.3">
      <c r="A314" s="9" t="s">
        <v>358</v>
      </c>
      <c r="B314" s="9" t="s">
        <v>89</v>
      </c>
      <c r="C314" s="9">
        <f>Jureviciushartries</f>
        <v>0</v>
      </c>
      <c r="D314" s="21" t="s">
        <v>475</v>
      </c>
      <c r="E314" s="21" t="s">
        <v>92</v>
      </c>
      <c r="F314" s="19">
        <f>Jenkinsbripts</f>
        <v>0</v>
      </c>
    </row>
    <row r="315" spans="1:6" ht="14.95" customHeight="1" thickBot="1" x14ac:dyDescent="0.3">
      <c r="A315" s="9" t="s">
        <v>703</v>
      </c>
      <c r="B315" s="9" t="s">
        <v>247</v>
      </c>
      <c r="C315" s="9">
        <f>Hodgsonnewtriescorrect</f>
        <v>0</v>
      </c>
      <c r="D315" s="21" t="s">
        <v>633</v>
      </c>
      <c r="E315" s="21" t="s">
        <v>92</v>
      </c>
      <c r="F315" s="19">
        <f>Hearnlirpts</f>
        <v>0</v>
      </c>
    </row>
    <row r="316" spans="1:6" ht="14.95" customHeight="1" thickBot="1" x14ac:dyDescent="0.3">
      <c r="A316" s="9" t="s">
        <v>853</v>
      </c>
      <c r="B316" s="9" t="s">
        <v>81</v>
      </c>
      <c r="C316" s="9">
        <f>Kellysaltries</f>
        <v>0</v>
      </c>
      <c r="D316" s="19" t="s">
        <v>589</v>
      </c>
      <c r="E316" s="19" t="s">
        <v>90</v>
      </c>
      <c r="F316" s="19">
        <f>Johnexepts</f>
        <v>0</v>
      </c>
    </row>
    <row r="317" spans="1:6" ht="14.95" customHeight="1" thickBot="1" x14ac:dyDescent="0.3">
      <c r="A317" s="8" t="s">
        <v>119</v>
      </c>
      <c r="B317" s="8" t="s">
        <v>89</v>
      </c>
      <c r="C317" s="9">
        <f>Ibitoyehartries</f>
        <v>0</v>
      </c>
      <c r="D317" s="21" t="s">
        <v>761</v>
      </c>
      <c r="E317" s="21" t="s">
        <v>322</v>
      </c>
      <c r="F317" s="19">
        <f>Johnsonsarpts</f>
        <v>0</v>
      </c>
    </row>
    <row r="318" spans="1:6" ht="14.95" customHeight="1" thickBot="1" x14ac:dyDescent="0.3">
      <c r="A318" s="8" t="s">
        <v>1075</v>
      </c>
      <c r="B318" s="8" t="s">
        <v>322</v>
      </c>
      <c r="C318" s="9">
        <f>Keylocksartries</f>
        <v>0</v>
      </c>
      <c r="D318" s="19" t="s">
        <v>358</v>
      </c>
      <c r="E318" s="19" t="s">
        <v>89</v>
      </c>
      <c r="F318" s="19">
        <f>Jureviciusharpts</f>
        <v>0</v>
      </c>
    </row>
    <row r="319" spans="1:6" ht="14.95" customHeight="1" thickBot="1" x14ac:dyDescent="0.3">
      <c r="A319" s="8" t="s">
        <v>686</v>
      </c>
      <c r="B319" s="9" t="s">
        <v>544</v>
      </c>
      <c r="C319" s="9">
        <f>Kitchenergrahamtriescorrect</f>
        <v>0</v>
      </c>
      <c r="D319" s="21" t="s">
        <v>703</v>
      </c>
      <c r="E319" s="21" t="s">
        <v>247</v>
      </c>
      <c r="F319" s="19">
        <f>Hodgsonnewptscorrect</f>
        <v>0</v>
      </c>
    </row>
    <row r="320" spans="1:6" ht="14.95" customHeight="1" thickBot="1" x14ac:dyDescent="0.3">
      <c r="A320" s="9" t="s">
        <v>871</v>
      </c>
      <c r="B320" s="9" t="s">
        <v>82</v>
      </c>
      <c r="C320" s="9">
        <f>Kirkbthtries</f>
        <v>0</v>
      </c>
      <c r="D320" s="19" t="s">
        <v>853</v>
      </c>
      <c r="E320" s="19" t="s">
        <v>81</v>
      </c>
      <c r="F320" s="19">
        <f>Kellysalpts</f>
        <v>0</v>
      </c>
    </row>
    <row r="321" spans="1:6" ht="14.95" customHeight="1" thickBot="1" x14ac:dyDescent="0.3">
      <c r="A321" s="8" t="s">
        <v>276</v>
      </c>
      <c r="B321" s="8" t="s">
        <v>92</v>
      </c>
      <c r="C321" s="9">
        <f>Laybritries</f>
        <v>0</v>
      </c>
      <c r="D321" s="21" t="s">
        <v>119</v>
      </c>
      <c r="E321" s="21" t="s">
        <v>89</v>
      </c>
      <c r="F321" s="19">
        <f>Ibitoyeharpts</f>
        <v>0</v>
      </c>
    </row>
    <row r="322" spans="1:6" ht="14.95" customHeight="1" thickBot="1" x14ac:dyDescent="0.3">
      <c r="A322" s="8" t="s">
        <v>468</v>
      </c>
      <c r="B322" s="8" t="s">
        <v>322</v>
      </c>
      <c r="C322" s="9">
        <f>KnightSARtries</f>
        <v>0</v>
      </c>
      <c r="D322" s="21" t="s">
        <v>1075</v>
      </c>
      <c r="E322" s="21" t="s">
        <v>322</v>
      </c>
      <c r="F322" s="19">
        <f>Keylocksarpts</f>
        <v>0</v>
      </c>
    </row>
    <row r="323" spans="1:6" ht="14.95" customHeight="1" thickBot="1" x14ac:dyDescent="0.3">
      <c r="A323" s="8" t="s">
        <v>819</v>
      </c>
      <c r="B323" s="9" t="s">
        <v>80</v>
      </c>
      <c r="C323" s="9">
        <f>Knightciaranglotries</f>
        <v>0</v>
      </c>
      <c r="D323" s="21" t="s">
        <v>686</v>
      </c>
      <c r="E323" s="21" t="s">
        <v>544</v>
      </c>
      <c r="F323" s="19">
        <f>Kitchenergrahamptscorrect</f>
        <v>0</v>
      </c>
    </row>
    <row r="324" spans="1:6" ht="14.95" customHeight="1" thickBot="1" x14ac:dyDescent="0.3">
      <c r="A324" s="8" t="s">
        <v>236</v>
      </c>
      <c r="B324" s="8" t="s">
        <v>92</v>
      </c>
      <c r="C324" s="9">
        <f>Lloydlirtries</f>
        <v>0</v>
      </c>
      <c r="D324" s="21" t="s">
        <v>871</v>
      </c>
      <c r="E324" s="21" t="s">
        <v>82</v>
      </c>
      <c r="F324" s="19">
        <f>Kirkbthpts</f>
        <v>0</v>
      </c>
    </row>
    <row r="325" spans="1:6" ht="14.95" customHeight="1" thickBot="1" x14ac:dyDescent="0.3">
      <c r="A325" s="8" t="s">
        <v>671</v>
      </c>
      <c r="B325" s="8" t="s">
        <v>89</v>
      </c>
      <c r="C325" s="9">
        <f>Lamositelehartries</f>
        <v>0</v>
      </c>
      <c r="D325" s="21" t="s">
        <v>276</v>
      </c>
      <c r="E325" s="21" t="s">
        <v>92</v>
      </c>
      <c r="F325" s="19">
        <f>Laybripts</f>
        <v>0</v>
      </c>
    </row>
    <row r="326" spans="1:6" ht="14.95" customHeight="1" thickBot="1" x14ac:dyDescent="0.3">
      <c r="A326" s="8" t="s">
        <v>391</v>
      </c>
      <c r="B326" s="8" t="s">
        <v>92</v>
      </c>
      <c r="C326" s="9">
        <f>Lanebritries</f>
        <v>0</v>
      </c>
      <c r="D326" s="21" t="s">
        <v>468</v>
      </c>
      <c r="E326" s="21" t="s">
        <v>322</v>
      </c>
      <c r="F326" s="19">
        <f>KnightSARpts</f>
        <v>0</v>
      </c>
    </row>
    <row r="327" spans="1:6" ht="14.95" customHeight="1" thickBot="1" x14ac:dyDescent="0.3">
      <c r="A327" s="8" t="s">
        <v>596</v>
      </c>
      <c r="B327" s="8" t="s">
        <v>83</v>
      </c>
      <c r="C327" s="9">
        <f>LangdonNORtries</f>
        <v>0</v>
      </c>
      <c r="D327" s="21" t="s">
        <v>819</v>
      </c>
      <c r="E327" s="21" t="s">
        <v>80</v>
      </c>
      <c r="F327" s="19">
        <f>Knightciaranglopts</f>
        <v>0</v>
      </c>
    </row>
    <row r="328" spans="1:6" ht="14.95" customHeight="1" thickBot="1" x14ac:dyDescent="0.3">
      <c r="A328" s="8" t="s">
        <v>121</v>
      </c>
      <c r="B328" s="8" t="s">
        <v>89</v>
      </c>
      <c r="C328" s="9">
        <f>Lewisdavehartries</f>
        <v>0</v>
      </c>
      <c r="D328" s="21" t="s">
        <v>236</v>
      </c>
      <c r="E328" s="21" t="s">
        <v>92</v>
      </c>
      <c r="F328" s="18">
        <f>Lloydlirpts</f>
        <v>0</v>
      </c>
    </row>
    <row r="329" spans="1:6" ht="14.95" customHeight="1" thickBot="1" x14ac:dyDescent="0.3">
      <c r="A329" s="8" t="s">
        <v>865</v>
      </c>
      <c r="B329" s="8" t="s">
        <v>82</v>
      </c>
      <c r="C329" s="9">
        <f>le_Rouxbthtries</f>
        <v>0</v>
      </c>
      <c r="D329" s="21" t="s">
        <v>671</v>
      </c>
      <c r="E329" s="21" t="s">
        <v>89</v>
      </c>
      <c r="F329" s="19">
        <f>+Lamositeleharpts</f>
        <v>0</v>
      </c>
    </row>
    <row r="330" spans="1:6" ht="14.95" customHeight="1" thickBot="1" x14ac:dyDescent="0.3">
      <c r="A330" s="8" t="s">
        <v>834</v>
      </c>
      <c r="B330" s="8" t="s">
        <v>92</v>
      </c>
      <c r="C330" s="9">
        <f>Lennonbritries</f>
        <v>0</v>
      </c>
      <c r="D330" s="21" t="s">
        <v>391</v>
      </c>
      <c r="E330" s="21" t="s">
        <v>92</v>
      </c>
      <c r="F330" s="19">
        <f>Lanebripts</f>
        <v>0</v>
      </c>
    </row>
    <row r="331" spans="1:6" ht="14.95" customHeight="1" thickBot="1" x14ac:dyDescent="0.3">
      <c r="A331" s="8" t="s">
        <v>204</v>
      </c>
      <c r="B331" s="8" t="s">
        <v>89</v>
      </c>
      <c r="C331" s="9">
        <f>Marfohartries</f>
        <v>0</v>
      </c>
      <c r="D331" s="21" t="s">
        <v>729</v>
      </c>
      <c r="E331" s="21" t="s">
        <v>83</v>
      </c>
      <c r="F331" s="19">
        <f>LangdonNORpts</f>
        <v>0</v>
      </c>
    </row>
    <row r="332" spans="1:6" ht="14.95" customHeight="1" thickBot="1" x14ac:dyDescent="0.3">
      <c r="A332" s="9" t="s">
        <v>216</v>
      </c>
      <c r="B332" s="9" t="s">
        <v>544</v>
      </c>
      <c r="C332" s="9">
        <f>Liebenbergleictries</f>
        <v>0</v>
      </c>
      <c r="D332" s="21" t="s">
        <v>121</v>
      </c>
      <c r="E332" s="21" t="s">
        <v>89</v>
      </c>
      <c r="F332" s="20">
        <f>Lewisdaveharpts</f>
        <v>0</v>
      </c>
    </row>
    <row r="333" spans="1:6" ht="14.95" customHeight="1" thickBot="1" x14ac:dyDescent="0.3">
      <c r="A333" s="8" t="s">
        <v>897</v>
      </c>
      <c r="B333" s="9" t="s">
        <v>90</v>
      </c>
      <c r="C333" s="9">
        <f>Lilleyexetries</f>
        <v>0</v>
      </c>
      <c r="D333" s="21" t="s">
        <v>865</v>
      </c>
      <c r="E333" s="21" t="s">
        <v>82</v>
      </c>
      <c r="F333" s="19">
        <f>le_Rouxbthpts</f>
        <v>0</v>
      </c>
    </row>
    <row r="334" spans="1:6" ht="14.95" customHeight="1" thickBot="1" x14ac:dyDescent="0.3">
      <c r="A334" s="298" t="s">
        <v>580</v>
      </c>
      <c r="B334" s="298" t="s">
        <v>80</v>
      </c>
      <c r="C334" s="9">
        <f>Knightglotriescorrect</f>
        <v>0</v>
      </c>
      <c r="D334" s="21" t="s">
        <v>834</v>
      </c>
      <c r="E334" s="21" t="s">
        <v>92</v>
      </c>
      <c r="F334" s="19">
        <f>Lennonbripts</f>
        <v>0</v>
      </c>
    </row>
    <row r="335" spans="1:6" ht="14.95" customHeight="1" thickBot="1" x14ac:dyDescent="0.3">
      <c r="A335" s="61" t="s">
        <v>453</v>
      </c>
      <c r="B335" s="8" t="s">
        <v>83</v>
      </c>
      <c r="C335" s="9">
        <f>Lockettnortries</f>
        <v>0</v>
      </c>
      <c r="D335" s="21" t="s">
        <v>204</v>
      </c>
      <c r="E335" s="21" t="s">
        <v>89</v>
      </c>
      <c r="F335" s="19">
        <f>Marfoharpts</f>
        <v>0</v>
      </c>
    </row>
    <row r="336" spans="1:6" ht="14.95" customHeight="1" thickBot="1" x14ac:dyDescent="0.3">
      <c r="A336" s="61" t="s">
        <v>492</v>
      </c>
      <c r="B336" s="8" t="s">
        <v>247</v>
      </c>
      <c r="C336" s="9">
        <f>Lindsay_Haguenewtries</f>
        <v>0</v>
      </c>
      <c r="D336" s="19" t="s">
        <v>216</v>
      </c>
      <c r="E336" s="19" t="s">
        <v>544</v>
      </c>
      <c r="F336" s="19">
        <f>Liebenbergleicpts</f>
        <v>0</v>
      </c>
    </row>
    <row r="337" spans="1:6" ht="14.95" customHeight="1" thickBot="1" x14ac:dyDescent="0.3">
      <c r="A337" s="61" t="s">
        <v>329</v>
      </c>
      <c r="B337" s="8" t="s">
        <v>322</v>
      </c>
      <c r="C337" s="9">
        <f>Lozowskisartriescorrect</f>
        <v>0</v>
      </c>
      <c r="D337" s="21" t="s">
        <v>897</v>
      </c>
      <c r="E337" s="21" t="s">
        <v>90</v>
      </c>
      <c r="F337" s="18">
        <f>Lilleyexepts</f>
        <v>0</v>
      </c>
    </row>
    <row r="338" spans="1:6" ht="14.95" customHeight="1" thickBot="1" x14ac:dyDescent="0.3">
      <c r="A338" s="61" t="s">
        <v>123</v>
      </c>
      <c r="B338" s="8" t="s">
        <v>92</v>
      </c>
      <c r="C338" s="9">
        <f>Marshalllirtries</f>
        <v>0</v>
      </c>
      <c r="D338" s="21" t="s">
        <v>580</v>
      </c>
      <c r="E338" s="21" t="s">
        <v>80</v>
      </c>
      <c r="F338" s="19">
        <f>Knightgloptscorrect</f>
        <v>0</v>
      </c>
    </row>
    <row r="339" spans="1:6" ht="14.95" customHeight="1" thickBot="1" x14ac:dyDescent="0.3">
      <c r="A339" s="61" t="s">
        <v>889</v>
      </c>
      <c r="B339" s="8" t="s">
        <v>90</v>
      </c>
      <c r="C339" s="9">
        <f>Maloneyexetries</f>
        <v>0</v>
      </c>
      <c r="D339" s="21" t="s">
        <v>453</v>
      </c>
      <c r="E339" s="21" t="s">
        <v>83</v>
      </c>
      <c r="F339" s="20">
        <f>Lockettnorpts</f>
        <v>0</v>
      </c>
    </row>
    <row r="340" spans="1:6" ht="14.95" customHeight="1" thickBot="1" x14ac:dyDescent="0.3">
      <c r="A340" s="61" t="s">
        <v>454</v>
      </c>
      <c r="B340" s="9" t="s">
        <v>544</v>
      </c>
      <c r="C340" s="9">
        <f>Manzleictries</f>
        <v>0</v>
      </c>
      <c r="D340" s="21" t="s">
        <v>492</v>
      </c>
      <c r="E340" s="21" t="s">
        <v>247</v>
      </c>
      <c r="F340" s="19">
        <f>Lindsay_Haguenewpts</f>
        <v>0</v>
      </c>
    </row>
    <row r="341" spans="1:6" ht="14.95" customHeight="1" thickBot="1" x14ac:dyDescent="0.3">
      <c r="A341" s="61" t="s">
        <v>284</v>
      </c>
      <c r="B341" s="9" t="s">
        <v>544</v>
      </c>
      <c r="C341" s="9">
        <f>Martinleictries</f>
        <v>0</v>
      </c>
      <c r="D341" s="2" t="s">
        <v>329</v>
      </c>
      <c r="E341" s="21" t="s">
        <v>322</v>
      </c>
      <c r="F341" s="19">
        <f>Lozowskisarptscorrect</f>
        <v>0</v>
      </c>
    </row>
    <row r="342" spans="1:6" ht="14.95" customHeight="1" thickBot="1" x14ac:dyDescent="0.3">
      <c r="A342" s="61" t="s">
        <v>967</v>
      </c>
      <c r="B342" s="8" t="s">
        <v>83</v>
      </c>
      <c r="C342" s="9">
        <f>Matthewsnortries</f>
        <v>0</v>
      </c>
      <c r="D342" s="2" t="s">
        <v>123</v>
      </c>
      <c r="E342" s="21" t="s">
        <v>92</v>
      </c>
      <c r="F342" s="19">
        <f>Marshalllirpts</f>
        <v>0</v>
      </c>
    </row>
    <row r="343" spans="1:6" ht="14.95" customHeight="1" thickBot="1" x14ac:dyDescent="0.3">
      <c r="A343" s="61" t="s">
        <v>406</v>
      </c>
      <c r="B343" s="8" t="s">
        <v>90</v>
      </c>
      <c r="C343" s="9">
        <f>Maunder_Sexetries</f>
        <v>0</v>
      </c>
      <c r="D343" s="2" t="s">
        <v>889</v>
      </c>
      <c r="E343" s="21" t="s">
        <v>90</v>
      </c>
      <c r="F343" s="19">
        <f>Maloneyexepts</f>
        <v>0</v>
      </c>
    </row>
    <row r="344" spans="1:6" ht="14.95" customHeight="1" thickBot="1" x14ac:dyDescent="0.3">
      <c r="A344" s="61" t="s">
        <v>330</v>
      </c>
      <c r="B344" s="8" t="s">
        <v>322</v>
      </c>
      <c r="C344" s="9">
        <f>Mawisartriescorrect</f>
        <v>0</v>
      </c>
      <c r="D344" s="2" t="s">
        <v>454</v>
      </c>
      <c r="E344" s="21" t="s">
        <v>544</v>
      </c>
      <c r="F344" s="19">
        <f>Manzleicpts</f>
        <v>0</v>
      </c>
    </row>
    <row r="345" spans="1:6" ht="14.95" customHeight="1" thickBot="1" x14ac:dyDescent="0.3">
      <c r="A345" s="61" t="s">
        <v>662</v>
      </c>
      <c r="B345" s="8" t="s">
        <v>80</v>
      </c>
      <c r="C345" s="9">
        <f>Maraisglotries</f>
        <v>0</v>
      </c>
      <c r="D345" s="2" t="s">
        <v>284</v>
      </c>
      <c r="E345" s="21" t="s">
        <v>544</v>
      </c>
      <c r="F345" s="19">
        <f>Martinleicpts</f>
        <v>0</v>
      </c>
    </row>
    <row r="346" spans="1:6" ht="14.95" customHeight="1" thickBot="1" x14ac:dyDescent="0.3">
      <c r="A346" s="61" t="s">
        <v>795</v>
      </c>
      <c r="B346" s="9" t="s">
        <v>81</v>
      </c>
      <c r="C346" s="48">
        <f>McElroysaltries</f>
        <v>0</v>
      </c>
      <c r="D346" s="2" t="s">
        <v>967</v>
      </c>
      <c r="E346" s="21" t="s">
        <v>83</v>
      </c>
      <c r="F346" s="19">
        <f>Matthewsnorpts</f>
        <v>0</v>
      </c>
    </row>
    <row r="347" spans="1:6" ht="14.95" customHeight="1" thickBot="1" x14ac:dyDescent="0.3">
      <c r="A347" s="61" t="s">
        <v>412</v>
      </c>
      <c r="B347" s="8" t="s">
        <v>92</v>
      </c>
      <c r="C347" s="9">
        <f>MacGintybritries</f>
        <v>0</v>
      </c>
      <c r="D347" s="2" t="s">
        <v>406</v>
      </c>
      <c r="E347" s="21" t="s">
        <v>90</v>
      </c>
      <c r="F347" s="19">
        <f>Maunder_Sexepts</f>
        <v>0</v>
      </c>
    </row>
    <row r="348" spans="1:6" ht="14.95" customHeight="1" thickBot="1" x14ac:dyDescent="0.3">
      <c r="A348" s="61" t="s">
        <v>477</v>
      </c>
      <c r="B348" s="8" t="s">
        <v>81</v>
      </c>
      <c r="C348" s="9">
        <f>McIntyresaltries</f>
        <v>0</v>
      </c>
      <c r="D348" s="2" t="s">
        <v>330</v>
      </c>
      <c r="E348" s="21" t="s">
        <v>322</v>
      </c>
      <c r="F348" s="19">
        <f>Mawisarptscorrect</f>
        <v>0</v>
      </c>
    </row>
    <row r="349" spans="1:6" ht="14.95" customHeight="1" thickBot="1" x14ac:dyDescent="0.3">
      <c r="A349" s="61" t="s">
        <v>689</v>
      </c>
      <c r="B349" s="9" t="s">
        <v>544</v>
      </c>
      <c r="C349" s="9">
        <f>Meredithleitries</f>
        <v>0</v>
      </c>
      <c r="D349" s="2" t="s">
        <v>662</v>
      </c>
      <c r="E349" s="21" t="s">
        <v>80</v>
      </c>
      <c r="F349" s="19">
        <f>Maraisglopts</f>
        <v>0</v>
      </c>
    </row>
    <row r="350" spans="1:6" ht="14.95" customHeight="1" thickBot="1" x14ac:dyDescent="0.3">
      <c r="A350" s="61" t="s">
        <v>776</v>
      </c>
      <c r="B350" s="8" t="s">
        <v>322</v>
      </c>
      <c r="C350" s="6">
        <f>Mooresartries</f>
        <v>0</v>
      </c>
      <c r="D350" s="2" t="s">
        <v>795</v>
      </c>
      <c r="E350" s="21" t="s">
        <v>81</v>
      </c>
      <c r="F350" s="19">
        <f>McElroysalpts</f>
        <v>0</v>
      </c>
    </row>
    <row r="351" spans="1:6" ht="14.95" customHeight="1" thickBot="1" x14ac:dyDescent="0.3">
      <c r="A351" s="61" t="s">
        <v>777</v>
      </c>
      <c r="B351" s="8" t="s">
        <v>322</v>
      </c>
      <c r="C351" s="9">
        <f>Morrissartriescorrect</f>
        <v>0</v>
      </c>
      <c r="D351" s="2" t="s">
        <v>477</v>
      </c>
      <c r="E351" s="21" t="s">
        <v>81</v>
      </c>
      <c r="F351" s="19">
        <f>McIntyresalpts</f>
        <v>0</v>
      </c>
    </row>
    <row r="352" spans="1:6" ht="14.95" customHeight="1" thickBot="1" x14ac:dyDescent="0.3">
      <c r="A352" s="61" t="s">
        <v>605</v>
      </c>
      <c r="B352" s="8" t="s">
        <v>82</v>
      </c>
      <c r="C352" s="9">
        <f>McNallybthtries</f>
        <v>0</v>
      </c>
      <c r="D352" s="2" t="s">
        <v>689</v>
      </c>
      <c r="E352" s="21" t="s">
        <v>544</v>
      </c>
      <c r="F352" s="18">
        <f>Meredithleipts</f>
        <v>0</v>
      </c>
    </row>
    <row r="353" spans="1:6" ht="14.95" customHeight="1" thickBot="1" x14ac:dyDescent="0.3">
      <c r="A353" s="61" t="s">
        <v>1068</v>
      </c>
      <c r="B353" s="8" t="s">
        <v>917</v>
      </c>
      <c r="C353" s="9">
        <f>Moorenrbtries</f>
        <v>0</v>
      </c>
      <c r="D353" s="250" t="s">
        <v>776</v>
      </c>
      <c r="E353" s="438" t="s">
        <v>322</v>
      </c>
      <c r="F353" s="18">
        <f>Mooresarpts</f>
        <v>0</v>
      </c>
    </row>
    <row r="354" spans="1:6" ht="14.95" customHeight="1" thickBot="1" x14ac:dyDescent="0.3">
      <c r="A354" s="61" t="s">
        <v>188</v>
      </c>
      <c r="B354" s="8" t="s">
        <v>80</v>
      </c>
      <c r="C354" s="9">
        <f>Morrisjglotries</f>
        <v>0</v>
      </c>
      <c r="D354" s="2" t="s">
        <v>777</v>
      </c>
      <c r="E354" s="21" t="s">
        <v>322</v>
      </c>
      <c r="F354" s="19">
        <f>Morrissarptscorrect</f>
        <v>0</v>
      </c>
    </row>
    <row r="355" spans="1:6" ht="14.95" customHeight="1" thickBot="1" x14ac:dyDescent="0.3">
      <c r="A355" s="61" t="s">
        <v>233</v>
      </c>
      <c r="B355" s="8" t="s">
        <v>82</v>
      </c>
      <c r="C355" s="9">
        <f>Muirbthtries</f>
        <v>0</v>
      </c>
      <c r="D355" s="2" t="s">
        <v>605</v>
      </c>
      <c r="E355" s="21" t="s">
        <v>82</v>
      </c>
      <c r="F355" s="19">
        <f>McNallybthpts</f>
        <v>0</v>
      </c>
    </row>
    <row r="356" spans="1:6" ht="14.95" customHeight="1" thickBot="1" x14ac:dyDescent="0.3">
      <c r="A356" s="61" t="s">
        <v>514</v>
      </c>
      <c r="B356" s="8" t="s">
        <v>83</v>
      </c>
      <c r="C356" s="9">
        <f>MungaNORtries</f>
        <v>0</v>
      </c>
      <c r="D356" s="2" t="s">
        <v>1068</v>
      </c>
      <c r="E356" s="21" t="s">
        <v>917</v>
      </c>
      <c r="F356" s="19">
        <f>Moorenrbpts</f>
        <v>0</v>
      </c>
    </row>
    <row r="357" spans="1:6" ht="14.95" customHeight="1" thickBot="1" x14ac:dyDescent="0.3">
      <c r="A357" s="61" t="s">
        <v>433</v>
      </c>
      <c r="B357" s="8" t="s">
        <v>89</v>
      </c>
      <c r="C357" s="9">
        <f>Murrayhartries</f>
        <v>0</v>
      </c>
      <c r="D357" s="2" t="s">
        <v>188</v>
      </c>
      <c r="E357" s="21" t="s">
        <v>80</v>
      </c>
      <c r="F357" s="19">
        <f>Morrisjglopts</f>
        <v>0</v>
      </c>
    </row>
    <row r="358" spans="1:6" ht="14.95" customHeight="1" thickBot="1" x14ac:dyDescent="0.3">
      <c r="A358" s="61" t="s">
        <v>443</v>
      </c>
      <c r="B358" s="8" t="s">
        <v>89</v>
      </c>
      <c r="C358" s="9">
        <f>Muskhartries</f>
        <v>0</v>
      </c>
      <c r="D358" s="2" t="s">
        <v>233</v>
      </c>
      <c r="E358" s="21" t="s">
        <v>82</v>
      </c>
      <c r="F358" s="19">
        <f>Muirbthpts</f>
        <v>0</v>
      </c>
    </row>
    <row r="359" spans="1:6" ht="14.95" customHeight="1" thickBot="1" x14ac:dyDescent="0.3">
      <c r="A359" s="61" t="s">
        <v>723</v>
      </c>
      <c r="B359" s="8" t="s">
        <v>247</v>
      </c>
      <c r="C359" s="9">
        <f>Neildnewtries</f>
        <v>0</v>
      </c>
      <c r="D359" s="17" t="s">
        <v>779</v>
      </c>
      <c r="E359" s="21" t="s">
        <v>83</v>
      </c>
      <c r="F359" s="19">
        <f>MungaNORpts</f>
        <v>0</v>
      </c>
    </row>
    <row r="360" spans="1:6" ht="14.95" customHeight="1" thickBot="1" x14ac:dyDescent="0.3">
      <c r="A360" s="61" t="s">
        <v>706</v>
      </c>
      <c r="B360" s="8" t="s">
        <v>247</v>
      </c>
      <c r="C360" s="6">
        <f>Merricknewtries</f>
        <v>0</v>
      </c>
      <c r="D360" s="2" t="s">
        <v>433</v>
      </c>
      <c r="E360" s="21" t="s">
        <v>89</v>
      </c>
      <c r="F360" s="19">
        <f>Murrayharpts</f>
        <v>0</v>
      </c>
    </row>
    <row r="361" spans="1:6" ht="14.95" customHeight="1" thickBot="1" x14ac:dyDescent="0.3">
      <c r="A361" s="61" t="s">
        <v>387</v>
      </c>
      <c r="B361" s="8" t="s">
        <v>90</v>
      </c>
      <c r="C361" s="9">
        <f>Noreyexetries</f>
        <v>0</v>
      </c>
      <c r="D361" s="2" t="s">
        <v>443</v>
      </c>
      <c r="E361" s="21" t="s">
        <v>89</v>
      </c>
      <c r="F361" s="19">
        <f>Muskharpts</f>
        <v>0</v>
      </c>
    </row>
    <row r="362" spans="1:6" ht="14.95" customHeight="1" thickBot="1" x14ac:dyDescent="0.3">
      <c r="A362" s="61" t="s">
        <v>1090</v>
      </c>
      <c r="B362" s="8" t="s">
        <v>247</v>
      </c>
      <c r="C362" s="9">
        <f>Itojesartries</f>
        <v>0</v>
      </c>
      <c r="D362" s="2" t="s">
        <v>723</v>
      </c>
      <c r="E362" s="21" t="s">
        <v>247</v>
      </c>
      <c r="F362" s="19">
        <f>Neildnewpts</f>
        <v>0</v>
      </c>
    </row>
    <row r="363" spans="1:6" ht="14.95" customHeight="1" thickBot="1" x14ac:dyDescent="0.3">
      <c r="A363" s="61" t="s">
        <v>1012</v>
      </c>
      <c r="B363" s="8" t="s">
        <v>544</v>
      </c>
      <c r="C363" s="9">
        <f>O_Connorleitries</f>
        <v>0</v>
      </c>
      <c r="D363" s="2" t="s">
        <v>706</v>
      </c>
      <c r="E363" s="21" t="s">
        <v>247</v>
      </c>
      <c r="F363" s="19">
        <f>Merricknewpts</f>
        <v>0</v>
      </c>
    </row>
    <row r="364" spans="1:6" ht="14.95" customHeight="1" thickBot="1" x14ac:dyDescent="0.3">
      <c r="A364" s="61" t="s">
        <v>816</v>
      </c>
      <c r="B364" s="8" t="s">
        <v>82</v>
      </c>
      <c r="C364" s="48">
        <f>Offiahbthtries</f>
        <v>0</v>
      </c>
      <c r="D364" s="2" t="s">
        <v>387</v>
      </c>
      <c r="E364" s="21" t="s">
        <v>90</v>
      </c>
      <c r="F364" s="19">
        <f>Noreyexepts</f>
        <v>0</v>
      </c>
    </row>
    <row r="365" spans="1:6" ht="14.95" customHeight="1" thickBot="1" x14ac:dyDescent="0.3">
      <c r="A365" s="61" t="s">
        <v>744</v>
      </c>
      <c r="B365" s="8" t="s">
        <v>81</v>
      </c>
      <c r="C365" s="6">
        <f>Ostrikovandreitries</f>
        <v>0</v>
      </c>
      <c r="D365" s="2" t="s">
        <v>1090</v>
      </c>
      <c r="E365" s="21" t="s">
        <v>247</v>
      </c>
      <c r="F365" s="19">
        <f>Itojesarpts</f>
        <v>0</v>
      </c>
    </row>
    <row r="366" spans="1:6" ht="14.95" customHeight="1" thickBot="1" x14ac:dyDescent="0.3">
      <c r="A366" s="61" t="s">
        <v>428</v>
      </c>
      <c r="B366" s="8" t="s">
        <v>89</v>
      </c>
      <c r="C366" s="9">
        <f>Osbornehartries</f>
        <v>0</v>
      </c>
      <c r="D366" s="2" t="s">
        <v>816</v>
      </c>
      <c r="E366" s="21" t="s">
        <v>82</v>
      </c>
      <c r="F366" s="19">
        <f>Offiahbthpts</f>
        <v>0</v>
      </c>
    </row>
    <row r="367" spans="1:6" ht="14.95" customHeight="1" thickBot="1" x14ac:dyDescent="0.3">
      <c r="A367" s="10" t="s">
        <v>571</v>
      </c>
      <c r="B367" s="9" t="s">
        <v>247</v>
      </c>
      <c r="C367" s="9">
        <f>Owennewtriescorrect</f>
        <v>0</v>
      </c>
      <c r="D367" s="2" t="s">
        <v>744</v>
      </c>
      <c r="E367" s="21" t="s">
        <v>81</v>
      </c>
      <c r="F367" s="20">
        <f>OStrikovsalpts</f>
        <v>0</v>
      </c>
    </row>
    <row r="368" spans="1:6" ht="14.95" customHeight="1" thickBot="1" x14ac:dyDescent="0.3">
      <c r="A368" s="61" t="s">
        <v>149</v>
      </c>
      <c r="B368" s="8" t="s">
        <v>90</v>
      </c>
      <c r="C368" s="9">
        <f>Painterexetries</f>
        <v>0</v>
      </c>
      <c r="D368" s="2" t="s">
        <v>428</v>
      </c>
      <c r="E368" s="21" t="s">
        <v>89</v>
      </c>
      <c r="F368" s="19">
        <f>Osborneharpts</f>
        <v>0</v>
      </c>
    </row>
    <row r="369" spans="1:6" ht="14.95" customHeight="1" thickBot="1" x14ac:dyDescent="0.3">
      <c r="A369" s="61" t="s">
        <v>879</v>
      </c>
      <c r="B369" s="8" t="s">
        <v>247</v>
      </c>
      <c r="C369" s="9">
        <f>Parsonsnewtries</f>
        <v>0</v>
      </c>
      <c r="D369" s="2" t="s">
        <v>571</v>
      </c>
      <c r="E369" s="21" t="s">
        <v>247</v>
      </c>
      <c r="F369" s="19">
        <f>Owennewptscorrect</f>
        <v>0</v>
      </c>
    </row>
    <row r="370" spans="1:6" ht="14.95" customHeight="1" thickBot="1" x14ac:dyDescent="0.3">
      <c r="A370" s="61" t="s">
        <v>873</v>
      </c>
      <c r="B370" s="8" t="s">
        <v>83</v>
      </c>
      <c r="C370" s="9">
        <f>Pasconortries</f>
        <v>0</v>
      </c>
      <c r="D370" s="2" t="s">
        <v>149</v>
      </c>
      <c r="E370" s="21" t="s">
        <v>90</v>
      </c>
      <c r="F370" s="19">
        <f>Painterexepts</f>
        <v>0</v>
      </c>
    </row>
    <row r="371" spans="1:6" ht="14.95" customHeight="1" thickBot="1" x14ac:dyDescent="0.3">
      <c r="A371" s="61" t="s">
        <v>1055</v>
      </c>
      <c r="B371" s="8" t="s">
        <v>83</v>
      </c>
      <c r="C371" s="9">
        <f>Paternortries</f>
        <v>0</v>
      </c>
      <c r="D371" s="2" t="s">
        <v>879</v>
      </c>
      <c r="E371" s="21" t="s">
        <v>247</v>
      </c>
      <c r="F371" s="19">
        <f>Parsonsnewpts</f>
        <v>0</v>
      </c>
    </row>
    <row r="372" spans="1:6" ht="14.95" customHeight="1" thickBot="1" x14ac:dyDescent="0.3">
      <c r="A372" s="61" t="s">
        <v>641</v>
      </c>
      <c r="B372" s="8" t="s">
        <v>92</v>
      </c>
      <c r="C372" s="9">
        <f>Pearcebritries</f>
        <v>0</v>
      </c>
      <c r="D372" s="2" t="s">
        <v>873</v>
      </c>
      <c r="E372" s="21" t="s">
        <v>83</v>
      </c>
      <c r="F372" s="19">
        <f>Pasconorpts</f>
        <v>0</v>
      </c>
    </row>
    <row r="373" spans="1:6" ht="14.95" customHeight="1" thickBot="1" x14ac:dyDescent="0.3">
      <c r="A373" s="61" t="s">
        <v>679</v>
      </c>
      <c r="B373" s="9" t="s">
        <v>544</v>
      </c>
      <c r="C373" s="48">
        <f>Montoyaleictries</f>
        <v>0</v>
      </c>
      <c r="D373" s="2" t="s">
        <v>1055</v>
      </c>
      <c r="E373" s="21" t="s">
        <v>83</v>
      </c>
      <c r="F373" s="19">
        <f>Paternorpts</f>
        <v>0</v>
      </c>
    </row>
    <row r="374" spans="1:6" ht="14.95" customHeight="1" thickBot="1" x14ac:dyDescent="0.3">
      <c r="A374" s="61" t="s">
        <v>382</v>
      </c>
      <c r="B374" s="8" t="s">
        <v>90</v>
      </c>
      <c r="C374" s="9">
        <f>Pearsonexetries</f>
        <v>0</v>
      </c>
      <c r="D374" s="2" t="s">
        <v>641</v>
      </c>
      <c r="E374" s="21" t="s">
        <v>92</v>
      </c>
      <c r="F374" s="19">
        <f>Pearcebripts</f>
        <v>0</v>
      </c>
    </row>
    <row r="375" spans="1:6" ht="14.95" customHeight="1" thickBot="1" x14ac:dyDescent="0.3">
      <c r="A375" s="61" t="s">
        <v>84</v>
      </c>
      <c r="B375" s="8" t="s">
        <v>92</v>
      </c>
      <c r="C375" s="9">
        <f>Penalty_Triesbritries</f>
        <v>0</v>
      </c>
      <c r="D375" s="2" t="s">
        <v>679</v>
      </c>
      <c r="E375" s="21" t="s">
        <v>544</v>
      </c>
      <c r="F375" s="19">
        <f>Montoyaleicpts</f>
        <v>0</v>
      </c>
    </row>
    <row r="376" spans="1:6" ht="14.95" customHeight="1" thickBot="1" x14ac:dyDescent="0.3">
      <c r="A376" s="61" t="s">
        <v>84</v>
      </c>
      <c r="B376" s="8" t="s">
        <v>82</v>
      </c>
      <c r="C376" s="9">
        <f>bathpentriestriesthisone</f>
        <v>0</v>
      </c>
      <c r="D376" s="17" t="s">
        <v>382</v>
      </c>
      <c r="E376" s="19" t="s">
        <v>90</v>
      </c>
      <c r="F376" s="20">
        <f>Pearsonexepts</f>
        <v>0</v>
      </c>
    </row>
    <row r="377" spans="1:6" ht="14.95" customHeight="1" thickBot="1" x14ac:dyDescent="0.3">
      <c r="A377" s="10" t="s">
        <v>84</v>
      </c>
      <c r="B377" s="9" t="s">
        <v>90</v>
      </c>
      <c r="C377" s="9">
        <f>Penalty_Triesexetries</f>
        <v>0</v>
      </c>
      <c r="D377" s="2" t="s">
        <v>84</v>
      </c>
      <c r="E377" s="21" t="s">
        <v>92</v>
      </c>
      <c r="F377" s="19">
        <f>Penalty_Triesbripts</f>
        <v>0</v>
      </c>
    </row>
    <row r="378" spans="1:6" ht="14.95" customHeight="1" thickBot="1" x14ac:dyDescent="0.3">
      <c r="A378" s="61" t="s">
        <v>84</v>
      </c>
      <c r="B378" s="8" t="s">
        <v>80</v>
      </c>
      <c r="C378" s="9">
        <f>Penalty_Triesglotries</f>
        <v>0</v>
      </c>
      <c r="D378" s="2" t="s">
        <v>84</v>
      </c>
      <c r="E378" s="21" t="s">
        <v>82</v>
      </c>
      <c r="F378" s="18">
        <f>bathpentriesptsthisone</f>
        <v>0</v>
      </c>
    </row>
    <row r="379" spans="1:6" ht="14.95" customHeight="1" thickBot="1" x14ac:dyDescent="0.3">
      <c r="A379" s="61" t="s">
        <v>84</v>
      </c>
      <c r="B379" s="8" t="s">
        <v>89</v>
      </c>
      <c r="C379" s="9">
        <f>Penalty_Trieshartries</f>
        <v>0</v>
      </c>
      <c r="D379" s="17" t="s">
        <v>84</v>
      </c>
      <c r="E379" s="19" t="s">
        <v>90</v>
      </c>
      <c r="F379" s="19">
        <f>Penalty_Triesexepts</f>
        <v>0</v>
      </c>
    </row>
    <row r="380" spans="1:6" ht="14.95" customHeight="1" thickBot="1" x14ac:dyDescent="0.3">
      <c r="A380" s="10" t="s">
        <v>84</v>
      </c>
      <c r="B380" s="9" t="s">
        <v>247</v>
      </c>
      <c r="C380" s="9">
        <f>Penalty_Triesnewtriescorrect</f>
        <v>0</v>
      </c>
      <c r="D380" s="2" t="s">
        <v>84</v>
      </c>
      <c r="E380" s="21" t="s">
        <v>80</v>
      </c>
      <c r="F380" s="19">
        <f>Penalty_Triesglopts</f>
        <v>0</v>
      </c>
    </row>
    <row r="381" spans="1:6" ht="14.95" customHeight="1" thickBot="1" x14ac:dyDescent="0.3">
      <c r="A381" s="61" t="s">
        <v>84</v>
      </c>
      <c r="B381" s="8" t="s">
        <v>83</v>
      </c>
      <c r="C381" s="9">
        <f>Penalty_Triessaintstries</f>
        <v>0</v>
      </c>
      <c r="D381" s="2" t="s">
        <v>84</v>
      </c>
      <c r="E381" s="21" t="s">
        <v>89</v>
      </c>
      <c r="F381" s="19">
        <f>Penalty_Triesharpts</f>
        <v>0</v>
      </c>
    </row>
    <row r="382" spans="1:6" ht="14.95" customHeight="1" thickBot="1" x14ac:dyDescent="0.3">
      <c r="A382" s="61" t="s">
        <v>84</v>
      </c>
      <c r="B382" s="8" t="s">
        <v>81</v>
      </c>
      <c r="C382" s="9">
        <f>Penalty_Triessaltries</f>
        <v>0</v>
      </c>
      <c r="D382" s="2" t="s">
        <v>84</v>
      </c>
      <c r="E382" s="21" t="s">
        <v>247</v>
      </c>
      <c r="F382" s="19">
        <f>Penalty_Triesnewptscorrect</f>
        <v>0</v>
      </c>
    </row>
    <row r="383" spans="1:6" ht="14.95" customHeight="1" thickBot="1" x14ac:dyDescent="0.3">
      <c r="A383" s="10" t="s">
        <v>676</v>
      </c>
      <c r="B383" s="9" t="s">
        <v>544</v>
      </c>
      <c r="C383" s="9">
        <f>Parlingleitries</f>
        <v>0</v>
      </c>
      <c r="D383" s="2" t="s">
        <v>84</v>
      </c>
      <c r="E383" s="21" t="s">
        <v>83</v>
      </c>
      <c r="F383" s="19">
        <f>Penalty_Triessaintspts</f>
        <v>0</v>
      </c>
    </row>
    <row r="384" spans="1:6" ht="14.95" customHeight="1" thickBot="1" x14ac:dyDescent="0.3">
      <c r="A384" s="61" t="s">
        <v>436</v>
      </c>
      <c r="B384" s="8" t="s">
        <v>83</v>
      </c>
      <c r="C384" s="9">
        <f>Ratuniyarawanortries</f>
        <v>0</v>
      </c>
      <c r="D384" s="2" t="s">
        <v>84</v>
      </c>
      <c r="E384" s="21" t="s">
        <v>81</v>
      </c>
      <c r="F384" s="19">
        <f>Penalty_Triessalpts</f>
        <v>0</v>
      </c>
    </row>
    <row r="385" spans="1:6" ht="14.95" customHeight="1" thickBot="1" x14ac:dyDescent="0.3">
      <c r="A385" s="10" t="s">
        <v>129</v>
      </c>
      <c r="B385" s="9" t="s">
        <v>92</v>
      </c>
      <c r="C385" s="9">
        <f>Palamobristries</f>
        <v>0</v>
      </c>
      <c r="D385" s="17" t="s">
        <v>676</v>
      </c>
      <c r="E385" s="19" t="s">
        <v>544</v>
      </c>
      <c r="F385" s="19">
        <f>Parlingleipts</f>
        <v>0</v>
      </c>
    </row>
    <row r="386" spans="1:6" ht="14.95" customHeight="1" thickBot="1" x14ac:dyDescent="0.3">
      <c r="A386" s="61" t="s">
        <v>130</v>
      </c>
      <c r="B386" s="8" t="s">
        <v>80</v>
      </c>
      <c r="C386" s="9">
        <f>Rapava_Ruskinglotries</f>
        <v>0</v>
      </c>
      <c r="D386" s="2" t="s">
        <v>436</v>
      </c>
      <c r="E386" s="21" t="s">
        <v>83</v>
      </c>
      <c r="F386" s="19">
        <f>Ratuniyarawanorpts</f>
        <v>0</v>
      </c>
    </row>
    <row r="387" spans="1:6" ht="14.95" customHeight="1" thickBot="1" x14ac:dyDescent="0.3">
      <c r="A387" s="61" t="s">
        <v>231</v>
      </c>
      <c r="B387" s="8" t="s">
        <v>82</v>
      </c>
      <c r="C387" s="9">
        <f>Robertsbthtries</f>
        <v>0</v>
      </c>
      <c r="D387" s="17" t="s">
        <v>129</v>
      </c>
      <c r="E387" s="19" t="s">
        <v>92</v>
      </c>
      <c r="F387" s="19">
        <f>Randallbripts</f>
        <v>0</v>
      </c>
    </row>
    <row r="388" spans="1:6" ht="14.95" customHeight="1" thickBot="1" x14ac:dyDescent="0.3">
      <c r="A388" s="61" t="s">
        <v>334</v>
      </c>
      <c r="B388" s="8" t="s">
        <v>322</v>
      </c>
      <c r="C388" s="9">
        <f>Riccionisartriescorrect</f>
        <v>0</v>
      </c>
      <c r="D388" s="2" t="s">
        <v>130</v>
      </c>
      <c r="E388" s="21" t="s">
        <v>80</v>
      </c>
      <c r="F388" s="19">
        <f>Rapava_Ruskinglopts</f>
        <v>0</v>
      </c>
    </row>
    <row r="389" spans="1:6" ht="14.95" customHeight="1" thickBot="1" x14ac:dyDescent="0.3">
      <c r="A389" s="61" t="s">
        <v>653</v>
      </c>
      <c r="B389" s="8" t="s">
        <v>90</v>
      </c>
      <c r="C389" s="9">
        <f>PostlethwaiteEXEtries</f>
        <v>0</v>
      </c>
      <c r="D389" s="2" t="s">
        <v>231</v>
      </c>
      <c r="E389" s="21" t="s">
        <v>82</v>
      </c>
      <c r="F389" s="19">
        <f>Robertsbthpts</f>
        <v>0</v>
      </c>
    </row>
    <row r="390" spans="1:6" ht="14.95" customHeight="1" thickBot="1" x14ac:dyDescent="0.3">
      <c r="A390" s="61" t="s">
        <v>416</v>
      </c>
      <c r="B390" s="8" t="s">
        <v>89</v>
      </c>
      <c r="C390" s="9">
        <f>Scotland_W_sonhartries</f>
        <v>0</v>
      </c>
      <c r="D390" s="2" t="s">
        <v>334</v>
      </c>
      <c r="E390" s="21" t="s">
        <v>322</v>
      </c>
      <c r="F390" s="19">
        <f>Riccionisarptscorrect</f>
        <v>0</v>
      </c>
    </row>
    <row r="391" spans="1:6" ht="14.95" customHeight="1" thickBot="1" x14ac:dyDescent="0.3">
      <c r="A391" s="61" t="s">
        <v>796</v>
      </c>
      <c r="B391" s="9" t="s">
        <v>81</v>
      </c>
      <c r="C391" s="48">
        <f>Rileysaltries</f>
        <v>0</v>
      </c>
      <c r="D391" s="17" t="s">
        <v>653</v>
      </c>
      <c r="E391" s="19" t="s">
        <v>90</v>
      </c>
      <c r="F391" s="20">
        <f>PostlethwaiteEXEpts</f>
        <v>0</v>
      </c>
    </row>
    <row r="392" spans="1:6" ht="14.95" customHeight="1" thickBot="1" x14ac:dyDescent="0.3">
      <c r="A392" s="61" t="s">
        <v>1059</v>
      </c>
      <c r="B392" s="9" t="s">
        <v>81</v>
      </c>
      <c r="C392" s="48">
        <f>Robertssaltries</f>
        <v>0</v>
      </c>
      <c r="D392" s="2" t="s">
        <v>416</v>
      </c>
      <c r="E392" s="21" t="s">
        <v>89</v>
      </c>
      <c r="F392" s="19">
        <f>Scotland_W_sonharpts</f>
        <v>0</v>
      </c>
    </row>
    <row r="393" spans="1:6" ht="14.95" customHeight="1" thickBot="1" x14ac:dyDescent="0.3">
      <c r="A393" s="61" t="s">
        <v>537</v>
      </c>
      <c r="B393" s="8" t="s">
        <v>90</v>
      </c>
      <c r="C393" s="9">
        <f>Schickerlingexetries</f>
        <v>0</v>
      </c>
      <c r="D393" s="2" t="s">
        <v>796</v>
      </c>
      <c r="E393" s="21" t="s">
        <v>81</v>
      </c>
      <c r="F393" s="19">
        <f>Rileysalpts</f>
        <v>0</v>
      </c>
    </row>
    <row r="394" spans="1:6" ht="14.95" customHeight="1" thickBot="1" x14ac:dyDescent="0.3">
      <c r="A394" s="61" t="s">
        <v>648</v>
      </c>
      <c r="B394" s="8" t="s">
        <v>90</v>
      </c>
      <c r="C394" s="9">
        <f>Reltonexetries</f>
        <v>0</v>
      </c>
      <c r="D394" s="2" t="s">
        <v>1059</v>
      </c>
      <c r="E394" s="21" t="s">
        <v>81</v>
      </c>
      <c r="F394" s="19">
        <f>Robertssalpts</f>
        <v>0</v>
      </c>
    </row>
    <row r="395" spans="1:6" ht="14.95" customHeight="1" thickBot="1" x14ac:dyDescent="0.3">
      <c r="A395" s="61" t="s">
        <v>841</v>
      </c>
      <c r="B395" s="8" t="s">
        <v>82</v>
      </c>
      <c r="C395" s="9">
        <f>Rouxbthpremtries</f>
        <v>0</v>
      </c>
      <c r="D395" s="17" t="s">
        <v>537</v>
      </c>
      <c r="E395" s="19" t="s">
        <v>90</v>
      </c>
      <c r="F395" s="19">
        <f>Schickerlingexepts</f>
        <v>0</v>
      </c>
    </row>
    <row r="396" spans="1:6" ht="14.95" customHeight="1" thickBot="1" x14ac:dyDescent="0.3">
      <c r="A396" s="61" t="s">
        <v>1054</v>
      </c>
      <c r="B396" s="8" t="s">
        <v>83</v>
      </c>
      <c r="C396" s="9">
        <f>Scott_Youngnortries</f>
        <v>0</v>
      </c>
      <c r="D396" s="17" t="s">
        <v>648</v>
      </c>
      <c r="E396" s="19" t="s">
        <v>90</v>
      </c>
      <c r="F396" s="19">
        <f>Reltonexepts</f>
        <v>0</v>
      </c>
    </row>
    <row r="397" spans="1:6" ht="14.95" customHeight="1" thickBot="1" x14ac:dyDescent="0.3">
      <c r="A397" s="61" t="s">
        <v>439</v>
      </c>
      <c r="B397" s="8" t="s">
        <v>92</v>
      </c>
      <c r="C397" s="9">
        <f>Salomonbritries</f>
        <v>0</v>
      </c>
      <c r="D397" s="2" t="s">
        <v>841</v>
      </c>
      <c r="E397" s="21" t="s">
        <v>82</v>
      </c>
      <c r="F397" s="19">
        <f>Rouxbthprempts</f>
        <v>0</v>
      </c>
    </row>
    <row r="398" spans="1:6" ht="14.95" customHeight="1" thickBot="1" x14ac:dyDescent="0.3">
      <c r="A398" s="61" t="s">
        <v>524</v>
      </c>
      <c r="B398" s="8" t="s">
        <v>82</v>
      </c>
      <c r="C398" s="48">
        <f>Russellbthtries</f>
        <v>0</v>
      </c>
      <c r="D398" s="2" t="s">
        <v>1054</v>
      </c>
      <c r="E398" s="21" t="s">
        <v>83</v>
      </c>
      <c r="F398" s="19">
        <f>Scott_Youngnorpts</f>
        <v>0</v>
      </c>
    </row>
    <row r="399" spans="1:6" ht="14.95" customHeight="1" thickBot="1" x14ac:dyDescent="0.3">
      <c r="A399" s="61" t="s">
        <v>809</v>
      </c>
      <c r="B399" s="8" t="s">
        <v>89</v>
      </c>
      <c r="C399" s="48">
        <f>Schmidhartries</f>
        <v>0</v>
      </c>
      <c r="D399" s="2" t="s">
        <v>439</v>
      </c>
      <c r="E399" s="21" t="s">
        <v>92</v>
      </c>
      <c r="F399" s="19">
        <f>Salomonbripts</f>
        <v>0</v>
      </c>
    </row>
    <row r="400" spans="1:6" ht="14.95" customHeight="1" thickBot="1" x14ac:dyDescent="0.3">
      <c r="A400" s="10" t="s">
        <v>709</v>
      </c>
      <c r="B400" s="8" t="s">
        <v>247</v>
      </c>
      <c r="C400" s="9">
        <f>Kpoku__Jonathansartries</f>
        <v>0</v>
      </c>
      <c r="D400" s="2" t="s">
        <v>809</v>
      </c>
      <c r="E400" s="21" t="s">
        <v>89</v>
      </c>
      <c r="F400" s="19">
        <f>Schmidharpts</f>
        <v>0</v>
      </c>
    </row>
    <row r="401" spans="1:6" ht="14.95" customHeight="1" thickBot="1" x14ac:dyDescent="0.3">
      <c r="A401" s="61" t="s">
        <v>634</v>
      </c>
      <c r="B401" s="8" t="s">
        <v>92</v>
      </c>
      <c r="C401" s="9">
        <f>paulolirtries</f>
        <v>0</v>
      </c>
      <c r="D401" s="2" t="s">
        <v>709</v>
      </c>
      <c r="E401" s="21" t="s">
        <v>247</v>
      </c>
      <c r="F401" s="19">
        <f>Kpoku__Jonathansarpts</f>
        <v>0</v>
      </c>
    </row>
    <row r="402" spans="1:6" ht="14.95" customHeight="1" thickBot="1" x14ac:dyDescent="0.3">
      <c r="A402" s="61" t="s">
        <v>335</v>
      </c>
      <c r="B402" s="8" t="s">
        <v>322</v>
      </c>
      <c r="C402" s="9">
        <f>Segunsartriescorrect</f>
        <v>0</v>
      </c>
      <c r="D402" s="2" t="s">
        <v>634</v>
      </c>
      <c r="E402" s="21" t="s">
        <v>92</v>
      </c>
      <c r="F402" s="19">
        <f>Paulolirpts</f>
        <v>0</v>
      </c>
    </row>
    <row r="403" spans="1:6" ht="14.95" customHeight="1" thickBot="1" x14ac:dyDescent="0.3">
      <c r="A403" s="61" t="s">
        <v>134</v>
      </c>
      <c r="B403" s="9" t="s">
        <v>544</v>
      </c>
      <c r="C403" s="9">
        <f>Simmonsleictries</f>
        <v>0</v>
      </c>
      <c r="D403" s="2" t="s">
        <v>335</v>
      </c>
      <c r="E403" s="21" t="s">
        <v>322</v>
      </c>
      <c r="F403" s="19">
        <f>Segunsarptscorrect</f>
        <v>0</v>
      </c>
    </row>
    <row r="404" spans="1:6" ht="14.95" customHeight="1" thickBot="1" x14ac:dyDescent="0.3">
      <c r="A404" s="61" t="s">
        <v>198</v>
      </c>
      <c r="B404" s="8" t="s">
        <v>322</v>
      </c>
      <c r="C404" s="9">
        <f>Simpson_Gsartries</f>
        <v>0</v>
      </c>
      <c r="D404" s="2" t="s">
        <v>134</v>
      </c>
      <c r="E404" s="21" t="s">
        <v>544</v>
      </c>
      <c r="F404" s="19">
        <f>Simmonsleicpts</f>
        <v>0</v>
      </c>
    </row>
    <row r="405" spans="1:6" ht="14.95" customHeight="1" thickBot="1" x14ac:dyDescent="0.3">
      <c r="A405" s="10" t="s">
        <v>269</v>
      </c>
      <c r="B405" s="8" t="s">
        <v>80</v>
      </c>
      <c r="C405" s="9">
        <f>Terryglotries</f>
        <v>0</v>
      </c>
      <c r="D405" s="2" t="s">
        <v>198</v>
      </c>
      <c r="E405" s="21" t="s">
        <v>322</v>
      </c>
      <c r="F405" s="19">
        <f>Simpson_Gsarpts</f>
        <v>0</v>
      </c>
    </row>
    <row r="406" spans="1:6" ht="14.95" customHeight="1" thickBot="1" x14ac:dyDescent="0.3">
      <c r="A406" s="61" t="s">
        <v>163</v>
      </c>
      <c r="B406" s="8" t="s">
        <v>83</v>
      </c>
      <c r="C406" s="9">
        <f>Sleightholmenortries</f>
        <v>0</v>
      </c>
      <c r="D406" s="2" t="s">
        <v>269</v>
      </c>
      <c r="E406" s="21" t="s">
        <v>80</v>
      </c>
      <c r="F406" s="19">
        <f>Terryglopts</f>
        <v>0</v>
      </c>
    </row>
    <row r="407" spans="1:6" ht="14.95" customHeight="1" thickBot="1" x14ac:dyDescent="0.3">
      <c r="A407" s="61" t="s">
        <v>432</v>
      </c>
      <c r="B407" s="8" t="s">
        <v>89</v>
      </c>
      <c r="C407" s="9">
        <f>Slevinhartries</f>
        <v>0</v>
      </c>
      <c r="D407" s="2" t="s">
        <v>163</v>
      </c>
      <c r="E407" s="21" t="s">
        <v>83</v>
      </c>
      <c r="F407" s="19">
        <f>Sleightholmenorpts</f>
        <v>0</v>
      </c>
    </row>
    <row r="408" spans="1:6" ht="14.95" customHeight="1" thickBot="1" x14ac:dyDescent="0.3">
      <c r="A408" s="61" t="s">
        <v>393</v>
      </c>
      <c r="B408" s="8" t="s">
        <v>247</v>
      </c>
      <c r="C408" s="9">
        <f>Smithrobbienewtries</f>
        <v>0</v>
      </c>
      <c r="D408" s="2" t="s">
        <v>432</v>
      </c>
      <c r="E408" s="21" t="s">
        <v>89</v>
      </c>
      <c r="F408" s="19">
        <f>Slevinharpts</f>
        <v>0</v>
      </c>
    </row>
    <row r="409" spans="1:6" ht="14.95" customHeight="1" thickBot="1" x14ac:dyDescent="0.3">
      <c r="A409" s="61" t="s">
        <v>393</v>
      </c>
      <c r="B409" s="8" t="s">
        <v>83</v>
      </c>
      <c r="C409" s="9">
        <f>Smith_Rnortries</f>
        <v>0</v>
      </c>
      <c r="D409" s="2" t="s">
        <v>393</v>
      </c>
      <c r="E409" s="21" t="s">
        <v>247</v>
      </c>
      <c r="F409" s="19">
        <f>Smithrobbienewpts</f>
        <v>0</v>
      </c>
    </row>
    <row r="410" spans="1:6" ht="14.95" customHeight="1" thickBot="1" x14ac:dyDescent="0.3">
      <c r="A410" s="61" t="s">
        <v>803</v>
      </c>
      <c r="B410" s="9" t="s">
        <v>82</v>
      </c>
      <c r="C410" s="9">
        <f>Spandlertbhtries</f>
        <v>0</v>
      </c>
      <c r="D410" s="2" t="s">
        <v>393</v>
      </c>
      <c r="E410" s="21" t="s">
        <v>83</v>
      </c>
      <c r="F410" s="19">
        <f>Smith_Rnorpts</f>
        <v>0</v>
      </c>
    </row>
    <row r="411" spans="1:6" ht="14.95" customHeight="1" thickBot="1" x14ac:dyDescent="0.3">
      <c r="A411" s="61" t="s">
        <v>757</v>
      </c>
      <c r="B411" s="8" t="s">
        <v>322</v>
      </c>
      <c r="C411" s="9">
        <f>Swinsonsartriescorrect</f>
        <v>0</v>
      </c>
      <c r="D411" s="2" t="s">
        <v>803</v>
      </c>
      <c r="E411" s="21" t="s">
        <v>82</v>
      </c>
      <c r="F411" s="19">
        <f>Spandlerbthpts</f>
        <v>0</v>
      </c>
    </row>
    <row r="412" spans="1:6" ht="14.95" customHeight="1" thickBot="1" x14ac:dyDescent="0.3">
      <c r="A412" s="61" t="s">
        <v>799</v>
      </c>
      <c r="B412" s="8" t="s">
        <v>82</v>
      </c>
      <c r="C412" s="9">
        <f>Stewartbthtries</f>
        <v>0</v>
      </c>
      <c r="D412" s="2" t="s">
        <v>757</v>
      </c>
      <c r="E412" s="21" t="s">
        <v>322</v>
      </c>
      <c r="F412" s="19">
        <f>Swinsonsarptscorrect</f>
        <v>0</v>
      </c>
    </row>
    <row r="413" spans="1:6" ht="14.95" customHeight="1" thickBot="1" x14ac:dyDescent="0.3">
      <c r="A413" s="61" t="s">
        <v>218</v>
      </c>
      <c r="B413" s="8" t="s">
        <v>80</v>
      </c>
      <c r="C413" s="9">
        <f>Stanleyglotries</f>
        <v>0</v>
      </c>
      <c r="D413" s="2" t="s">
        <v>799</v>
      </c>
      <c r="E413" s="21" t="s">
        <v>82</v>
      </c>
      <c r="F413" s="20">
        <f>Stewartbthpts</f>
        <v>0</v>
      </c>
    </row>
    <row r="414" spans="1:6" ht="14.95" customHeight="1" thickBot="1" x14ac:dyDescent="0.3">
      <c r="A414" s="61" t="s">
        <v>1072</v>
      </c>
      <c r="B414" s="8" t="s">
        <v>89</v>
      </c>
      <c r="C414" s="9">
        <f>Stapleshartries</f>
        <v>0</v>
      </c>
      <c r="D414" s="2" t="s">
        <v>218</v>
      </c>
      <c r="E414" s="21" t="s">
        <v>80</v>
      </c>
      <c r="F414" s="19">
        <f>Stanleyglopts</f>
        <v>0</v>
      </c>
    </row>
    <row r="415" spans="1:6" ht="14.95" customHeight="1" thickBot="1" x14ac:dyDescent="0.3">
      <c r="A415" s="10" t="s">
        <v>257</v>
      </c>
      <c r="B415" s="9" t="s">
        <v>247</v>
      </c>
      <c r="C415" s="9">
        <f>Lamositelesartries</f>
        <v>0</v>
      </c>
      <c r="D415" s="2" t="s">
        <v>1072</v>
      </c>
      <c r="E415" s="21" t="s">
        <v>89</v>
      </c>
      <c r="F415" s="19">
        <f>Staplesharpts</f>
        <v>0</v>
      </c>
    </row>
    <row r="416" spans="1:6" ht="14.95" customHeight="1" thickBot="1" x14ac:dyDescent="0.3">
      <c r="A416" s="61" t="s">
        <v>101</v>
      </c>
      <c r="B416" s="8" t="s">
        <v>82</v>
      </c>
      <c r="C416" s="48">
        <f>Stuartbthtries</f>
        <v>0</v>
      </c>
      <c r="D416" s="17" t="s">
        <v>257</v>
      </c>
      <c r="E416" s="19" t="s">
        <v>247</v>
      </c>
      <c r="F416" s="19">
        <f>Lamositelesarpts</f>
        <v>0</v>
      </c>
    </row>
    <row r="417" spans="1:6" ht="14.95" customHeight="1" thickBot="1" x14ac:dyDescent="0.3">
      <c r="A417" s="61" t="s">
        <v>839</v>
      </c>
      <c r="B417" s="8" t="s">
        <v>322</v>
      </c>
      <c r="C417" s="9">
        <f>Sylvestersartries</f>
        <v>0</v>
      </c>
      <c r="D417" s="2" t="s">
        <v>101</v>
      </c>
      <c r="E417" s="21" t="s">
        <v>82</v>
      </c>
      <c r="F417" s="19">
        <f>Stuartbthpts</f>
        <v>0</v>
      </c>
    </row>
    <row r="418" spans="1:6" ht="14.95" customHeight="1" thickBot="1" x14ac:dyDescent="0.3">
      <c r="A418" s="61" t="s">
        <v>625</v>
      </c>
      <c r="B418" s="61" t="s">
        <v>92</v>
      </c>
      <c r="C418" s="9">
        <f>Strangbritries</f>
        <v>0</v>
      </c>
      <c r="D418" s="2" t="s">
        <v>839</v>
      </c>
      <c r="E418" s="21" t="s">
        <v>322</v>
      </c>
      <c r="F418" s="19">
        <f>Sylvestersarpts</f>
        <v>0</v>
      </c>
    </row>
    <row r="419" spans="1:6" ht="14.95" customHeight="1" thickBot="1" x14ac:dyDescent="0.3">
      <c r="A419" s="61" t="s">
        <v>47</v>
      </c>
      <c r="B419" s="61" t="s">
        <v>92</v>
      </c>
      <c r="C419" s="9">
        <f>Poreckilirtries</f>
        <v>0</v>
      </c>
      <c r="D419" s="2" t="s">
        <v>625</v>
      </c>
      <c r="E419" s="2" t="s">
        <v>92</v>
      </c>
      <c r="F419" s="19">
        <f>Strangbripts</f>
        <v>0</v>
      </c>
    </row>
    <row r="420" spans="1:6" ht="14.95" customHeight="1" thickBot="1" x14ac:dyDescent="0.3">
      <c r="A420" s="10" t="s">
        <v>582</v>
      </c>
      <c r="B420" s="10" t="s">
        <v>544</v>
      </c>
      <c r="C420" s="9">
        <f>Theobold_Thomasleitries</f>
        <v>0</v>
      </c>
      <c r="D420" s="2" t="s">
        <v>47</v>
      </c>
      <c r="E420" s="2" t="s">
        <v>92</v>
      </c>
      <c r="F420" s="20">
        <f>Poreckilirpts</f>
        <v>0</v>
      </c>
    </row>
    <row r="421" spans="1:6" ht="14.95" customHeight="1" thickBot="1" x14ac:dyDescent="0.3">
      <c r="A421" s="61" t="s">
        <v>823</v>
      </c>
      <c r="B421" s="61" t="s">
        <v>544</v>
      </c>
      <c r="C421" s="9">
        <f>Threlfallleitries</f>
        <v>0</v>
      </c>
      <c r="D421" s="17" t="s">
        <v>582</v>
      </c>
      <c r="E421" s="17" t="s">
        <v>544</v>
      </c>
      <c r="F421" s="19">
        <f>Theobald_Thomasleipts</f>
        <v>0</v>
      </c>
    </row>
    <row r="422" spans="1:6" ht="14.95" customHeight="1" thickBot="1" x14ac:dyDescent="0.3">
      <c r="A422" s="61" t="s">
        <v>405</v>
      </c>
      <c r="B422" s="61" t="s">
        <v>247</v>
      </c>
      <c r="C422" s="9">
        <f>Tiffennewtries</f>
        <v>0</v>
      </c>
      <c r="D422" s="2" t="s">
        <v>823</v>
      </c>
      <c r="E422" s="2" t="s">
        <v>544</v>
      </c>
      <c r="F422" s="19">
        <f>Threlfallleipts</f>
        <v>0</v>
      </c>
    </row>
    <row r="423" spans="1:6" ht="14.95" customHeight="1" thickBot="1" x14ac:dyDescent="0.3">
      <c r="A423" s="61" t="s">
        <v>924</v>
      </c>
      <c r="B423" s="10" t="s">
        <v>544</v>
      </c>
      <c r="C423" s="9">
        <f>Vanesleictries</f>
        <v>0</v>
      </c>
      <c r="D423" s="2" t="s">
        <v>405</v>
      </c>
      <c r="E423" s="2" t="s">
        <v>247</v>
      </c>
      <c r="F423" s="19">
        <f>Tiffennewpts</f>
        <v>0</v>
      </c>
    </row>
    <row r="424" spans="1:6" ht="14.95" customHeight="1" thickBot="1" x14ac:dyDescent="0.3">
      <c r="A424" s="61" t="s">
        <v>137</v>
      </c>
      <c r="B424" s="61" t="s">
        <v>90</v>
      </c>
      <c r="C424" s="9">
        <f>Townsendexetries</f>
        <v>0</v>
      </c>
      <c r="D424" s="2" t="s">
        <v>924</v>
      </c>
      <c r="E424" s="2" t="s">
        <v>544</v>
      </c>
      <c r="F424" s="19">
        <f>Vanesleicpts</f>
        <v>0</v>
      </c>
    </row>
    <row r="425" spans="1:6" ht="14.95" customHeight="1" thickBot="1" x14ac:dyDescent="0.3">
      <c r="A425" s="10" t="s">
        <v>638</v>
      </c>
      <c r="B425" s="10" t="s">
        <v>92</v>
      </c>
      <c r="C425" s="9">
        <f>Trevettbritries</f>
        <v>0</v>
      </c>
      <c r="D425" s="2" t="s">
        <v>137</v>
      </c>
      <c r="E425" s="2" t="s">
        <v>90</v>
      </c>
      <c r="F425" s="19">
        <f>Townsendexepts</f>
        <v>0</v>
      </c>
    </row>
    <row r="426" spans="1:6" ht="14.95" customHeight="1" thickBot="1" x14ac:dyDescent="0.3">
      <c r="A426" s="61" t="s">
        <v>419</v>
      </c>
      <c r="B426" s="61" t="s">
        <v>90</v>
      </c>
      <c r="C426" s="9">
        <f>Tshiunzaexetries</f>
        <v>0</v>
      </c>
      <c r="D426" s="2" t="s">
        <v>638</v>
      </c>
      <c r="E426" s="2" t="s">
        <v>92</v>
      </c>
      <c r="F426" s="19">
        <f>Trevettbripts</f>
        <v>0</v>
      </c>
    </row>
    <row r="427" spans="1:6" ht="14.95" customHeight="1" thickBot="1" x14ac:dyDescent="0.3">
      <c r="A427" s="61" t="s">
        <v>845</v>
      </c>
      <c r="B427" s="61" t="s">
        <v>90</v>
      </c>
      <c r="C427" s="9">
        <f>Tuaexetries</f>
        <v>0</v>
      </c>
      <c r="D427" s="2" t="s">
        <v>419</v>
      </c>
      <c r="E427" s="2" t="s">
        <v>90</v>
      </c>
      <c r="F427" s="19">
        <f>Tshiunzaexepts</f>
        <v>0</v>
      </c>
    </row>
    <row r="428" spans="1:6" ht="14.95" customHeight="1" thickBot="1" x14ac:dyDescent="0.3">
      <c r="A428" s="61" t="s">
        <v>350</v>
      </c>
      <c r="B428" s="61" t="s">
        <v>90</v>
      </c>
      <c r="C428" s="9">
        <f>Tuimaexetries</f>
        <v>0</v>
      </c>
      <c r="D428" s="17" t="s">
        <v>845</v>
      </c>
      <c r="E428" s="17" t="s">
        <v>90</v>
      </c>
      <c r="F428" s="19">
        <f>Tuaexepts</f>
        <v>0</v>
      </c>
    </row>
    <row r="429" spans="1:6" ht="14.95" customHeight="1" thickBot="1" x14ac:dyDescent="0.3">
      <c r="A429" s="61" t="s">
        <v>926</v>
      </c>
      <c r="B429" s="61" t="s">
        <v>322</v>
      </c>
      <c r="C429" s="9">
        <f>Tuipulotusartries</f>
        <v>0</v>
      </c>
      <c r="D429" s="2" t="s">
        <v>350</v>
      </c>
      <c r="E429" s="2" t="s">
        <v>90</v>
      </c>
      <c r="F429" s="19">
        <f>Tuimaexepts</f>
        <v>0</v>
      </c>
    </row>
    <row r="430" spans="1:6" ht="14.95" customHeight="1" thickBot="1" x14ac:dyDescent="0.3">
      <c r="A430" s="61" t="s">
        <v>607</v>
      </c>
      <c r="B430" s="61" t="s">
        <v>82</v>
      </c>
      <c r="C430" s="9">
        <f>Tuipulotubthtries</f>
        <v>0</v>
      </c>
      <c r="D430" s="2" t="s">
        <v>926</v>
      </c>
      <c r="E430" s="2" t="s">
        <v>322</v>
      </c>
      <c r="F430" s="19">
        <f>Tuipulotusarpts</f>
        <v>0</v>
      </c>
    </row>
    <row r="431" spans="1:6" ht="14.95" customHeight="1" thickBot="1" x14ac:dyDescent="0.3">
      <c r="A431" s="61" t="s">
        <v>207</v>
      </c>
      <c r="B431" s="61" t="s">
        <v>80</v>
      </c>
      <c r="C431" s="9">
        <f>Cowanjimmytries</f>
        <v>0</v>
      </c>
      <c r="D431" s="2" t="s">
        <v>607</v>
      </c>
      <c r="E431" s="2" t="s">
        <v>82</v>
      </c>
      <c r="F431" s="19">
        <f>Tuipulotubthpts</f>
        <v>0</v>
      </c>
    </row>
    <row r="432" spans="1:6" ht="14.95" customHeight="1" thickBot="1" x14ac:dyDescent="0.3">
      <c r="A432" s="61" t="s">
        <v>712</v>
      </c>
      <c r="B432" s="61" t="s">
        <v>247</v>
      </c>
      <c r="C432" s="9">
        <f>van_VuurenNEWtries</f>
        <v>0</v>
      </c>
      <c r="D432" s="2" t="s">
        <v>207</v>
      </c>
      <c r="E432" s="2" t="s">
        <v>80</v>
      </c>
      <c r="F432" s="19">
        <f>Cowanjimmypts</f>
        <v>0</v>
      </c>
    </row>
    <row r="433" spans="1:6" ht="14.95" customHeight="1" thickBot="1" x14ac:dyDescent="0.3">
      <c r="A433" s="61" t="s">
        <v>821</v>
      </c>
      <c r="B433" s="61" t="s">
        <v>544</v>
      </c>
      <c r="C433" s="9">
        <f>van_der_Flierleitries</f>
        <v>0</v>
      </c>
      <c r="D433" s="2" t="s">
        <v>712</v>
      </c>
      <c r="E433" s="2" t="s">
        <v>247</v>
      </c>
      <c r="F433" s="19">
        <f>van_VuurenNEWpts</f>
        <v>0</v>
      </c>
    </row>
    <row r="434" spans="1:6" ht="14.95" customHeight="1" thickBot="1" x14ac:dyDescent="0.3">
      <c r="A434" s="61" t="s">
        <v>259</v>
      </c>
      <c r="B434" s="61" t="s">
        <v>247</v>
      </c>
      <c r="C434" s="9">
        <f>Malinssartries</f>
        <v>0</v>
      </c>
      <c r="D434" s="2" t="s">
        <v>821</v>
      </c>
      <c r="E434" s="2" t="s">
        <v>544</v>
      </c>
      <c r="F434" s="19">
        <f>van_der_Flierleipts</f>
        <v>0</v>
      </c>
    </row>
    <row r="435" spans="1:6" ht="14.95" customHeight="1" thickBot="1" x14ac:dyDescent="0.3">
      <c r="A435" s="61" t="s">
        <v>140</v>
      </c>
      <c r="B435" s="61" t="s">
        <v>82</v>
      </c>
      <c r="C435" s="9">
        <f>van_Vuurenbthtries</f>
        <v>0</v>
      </c>
      <c r="D435" s="2" t="s">
        <v>259</v>
      </c>
      <c r="E435" s="2" t="s">
        <v>247</v>
      </c>
      <c r="F435" s="19">
        <f>Malinssarpts</f>
        <v>0</v>
      </c>
    </row>
    <row r="436" spans="1:6" ht="14.95" customHeight="1" thickBot="1" x14ac:dyDescent="0.3">
      <c r="A436" s="61" t="s">
        <v>875</v>
      </c>
      <c r="B436" s="61" t="s">
        <v>89</v>
      </c>
      <c r="C436" s="9">
        <f>Waghornhartries</f>
        <v>0</v>
      </c>
      <c r="D436" s="2" t="s">
        <v>140</v>
      </c>
      <c r="E436" s="2" t="s">
        <v>82</v>
      </c>
      <c r="F436" s="19">
        <f>van_Vuurenbthpts</f>
        <v>0</v>
      </c>
    </row>
    <row r="437" spans="1:6" ht="14.95" customHeight="1" thickBot="1" x14ac:dyDescent="0.3">
      <c r="A437" s="61" t="s">
        <v>847</v>
      </c>
      <c r="B437" s="10" t="s">
        <v>83</v>
      </c>
      <c r="C437" s="9">
        <f>Walkernortries</f>
        <v>0</v>
      </c>
      <c r="D437" s="2" t="s">
        <v>875</v>
      </c>
      <c r="E437" s="2" t="s">
        <v>89</v>
      </c>
      <c r="F437" s="20">
        <f>Waghornharpts</f>
        <v>0</v>
      </c>
    </row>
    <row r="438" spans="1:6" ht="14.95" customHeight="1" thickBot="1" x14ac:dyDescent="0.3">
      <c r="A438" s="61" t="s">
        <v>355</v>
      </c>
      <c r="B438" s="61" t="s">
        <v>81</v>
      </c>
      <c r="C438" s="9">
        <f>Warrsaltries</f>
        <v>0</v>
      </c>
      <c r="D438" s="2" t="s">
        <v>847</v>
      </c>
      <c r="E438" s="2" t="s">
        <v>83</v>
      </c>
      <c r="F438" s="19">
        <f>Walkernorpts</f>
        <v>0</v>
      </c>
    </row>
    <row r="439" spans="1:6" ht="14.95" customHeight="1" thickBot="1" x14ac:dyDescent="0.3">
      <c r="A439" s="340" t="s">
        <v>901</v>
      </c>
      <c r="B439" s="340" t="s">
        <v>83</v>
      </c>
      <c r="C439" s="9">
        <f>Weimannnortries</f>
        <v>0</v>
      </c>
      <c r="D439" s="2" t="s">
        <v>355</v>
      </c>
      <c r="E439" s="2" t="s">
        <v>81</v>
      </c>
      <c r="F439" s="19">
        <f>Warrsalpts</f>
        <v>0</v>
      </c>
    </row>
    <row r="440" spans="1:6" ht="14.95" customHeight="1" thickBot="1" x14ac:dyDescent="0.3">
      <c r="A440" s="61" t="s">
        <v>735</v>
      </c>
      <c r="B440" s="61" t="s">
        <v>83</v>
      </c>
      <c r="C440" s="9">
        <f>A_Wallertries</f>
        <v>0</v>
      </c>
      <c r="D440" s="2" t="s">
        <v>901</v>
      </c>
      <c r="E440" s="2" t="s">
        <v>83</v>
      </c>
      <c r="F440" s="19">
        <f>Weimannnorpts</f>
        <v>0</v>
      </c>
    </row>
    <row r="441" spans="1:6" ht="14.95" customHeight="1" thickBot="1" x14ac:dyDescent="0.3">
      <c r="A441" s="61" t="s">
        <v>713</v>
      </c>
      <c r="B441" s="61" t="s">
        <v>247</v>
      </c>
      <c r="C441" s="9">
        <f>Wacokecokenewtries</f>
        <v>0</v>
      </c>
      <c r="D441" s="2" t="s">
        <v>735</v>
      </c>
      <c r="E441" s="2" t="s">
        <v>83</v>
      </c>
      <c r="F441" s="18">
        <f>A_Wallerpts</f>
        <v>0</v>
      </c>
    </row>
    <row r="442" spans="1:6" ht="14.95" customHeight="1" thickBot="1" x14ac:dyDescent="0.3">
      <c r="A442" s="61" t="s">
        <v>975</v>
      </c>
      <c r="B442" s="61" t="s">
        <v>89</v>
      </c>
      <c r="C442" s="9">
        <f>Watershartries</f>
        <v>0</v>
      </c>
      <c r="D442" s="2" t="s">
        <v>713</v>
      </c>
      <c r="E442" s="2" t="s">
        <v>247</v>
      </c>
      <c r="F442" s="19">
        <f>Wacokecokenewpts</f>
        <v>0</v>
      </c>
    </row>
    <row r="443" spans="1:6" ht="14.95" customHeight="1" thickBot="1" x14ac:dyDescent="0.3">
      <c r="A443" s="61" t="s">
        <v>187</v>
      </c>
      <c r="B443" s="61" t="s">
        <v>92</v>
      </c>
      <c r="C443" s="9">
        <f>Williamsbritries</f>
        <v>0</v>
      </c>
      <c r="D443" s="2" t="s">
        <v>975</v>
      </c>
      <c r="E443" s="2" t="s">
        <v>89</v>
      </c>
      <c r="F443" s="19">
        <f>Watersharpts</f>
        <v>0</v>
      </c>
    </row>
    <row r="444" spans="1:6" ht="14.95" customHeight="1" thickBot="1" x14ac:dyDescent="0.3">
      <c r="A444" s="61" t="s">
        <v>691</v>
      </c>
      <c r="B444" s="10" t="s">
        <v>544</v>
      </c>
      <c r="C444" s="6">
        <f>Wieseleictries</f>
        <v>0</v>
      </c>
      <c r="D444" s="2" t="s">
        <v>691</v>
      </c>
      <c r="E444" s="2" t="s">
        <v>544</v>
      </c>
      <c r="F444" s="19">
        <f>Wieseleicpts</f>
        <v>0</v>
      </c>
    </row>
    <row r="445" spans="1:6" ht="14.95" customHeight="1" thickBot="1" x14ac:dyDescent="0.3">
      <c r="A445" s="61" t="s">
        <v>666</v>
      </c>
      <c r="B445" s="61" t="s">
        <v>80</v>
      </c>
      <c r="C445" s="9">
        <f>Williamstomasglotries</f>
        <v>0</v>
      </c>
      <c r="D445" s="2" t="s">
        <v>666</v>
      </c>
      <c r="E445" s="2" t="s">
        <v>80</v>
      </c>
      <c r="F445" s="19">
        <f>Williamstomosglopts</f>
        <v>0</v>
      </c>
    </row>
    <row r="446" spans="1:6" ht="14.95" customHeight="1" thickBot="1" x14ac:dyDescent="0.3">
      <c r="A446" s="61" t="s">
        <v>535</v>
      </c>
      <c r="B446" s="61" t="s">
        <v>322</v>
      </c>
      <c r="C446" s="6">
        <f>Wilsonsartries</f>
        <v>0</v>
      </c>
      <c r="D446" s="250" t="s">
        <v>535</v>
      </c>
      <c r="E446" s="250" t="s">
        <v>322</v>
      </c>
      <c r="F446" s="18">
        <f>Wilsonsarpts</f>
        <v>0</v>
      </c>
    </row>
    <row r="447" spans="1:6" ht="14.95" customHeight="1" thickBot="1" x14ac:dyDescent="0.3">
      <c r="A447" s="61" t="s">
        <v>773</v>
      </c>
      <c r="B447" s="61" t="s">
        <v>322</v>
      </c>
      <c r="C447" s="9">
        <f>Woolstencroftsartriescorrect</f>
        <v>0</v>
      </c>
      <c r="D447" s="2" t="s">
        <v>773</v>
      </c>
      <c r="E447" s="2" t="s">
        <v>322</v>
      </c>
      <c r="F447" s="19">
        <f>Woolstencroftsarptscorrect</f>
        <v>0</v>
      </c>
    </row>
    <row r="448" spans="1:6" ht="14.95" customHeight="1" thickBot="1" x14ac:dyDescent="0.3">
      <c r="A448" s="61" t="s">
        <v>869</v>
      </c>
      <c r="B448" s="61" t="s">
        <v>322</v>
      </c>
      <c r="C448" s="9">
        <f>Wilson_Osartries</f>
        <v>0</v>
      </c>
      <c r="D448" s="2" t="s">
        <v>869</v>
      </c>
      <c r="E448" s="2" t="s">
        <v>322</v>
      </c>
      <c r="F448" s="19">
        <f>Wilson_Osarpts</f>
        <v>0</v>
      </c>
    </row>
    <row r="449" spans="1:6" ht="14.95" customHeight="1" thickBot="1" x14ac:dyDescent="0.3">
      <c r="A449" s="61" t="s">
        <v>1057</v>
      </c>
      <c r="B449" s="61" t="s">
        <v>81</v>
      </c>
      <c r="C449" s="9">
        <f>Wilsonsaltries</f>
        <v>0</v>
      </c>
      <c r="D449" s="2" t="s">
        <v>1057</v>
      </c>
      <c r="E449" s="2" t="s">
        <v>81</v>
      </c>
      <c r="F449" s="19">
        <f>Wilsonsalpts</f>
        <v>0</v>
      </c>
    </row>
    <row r="450" spans="1:6" ht="14.95" customHeight="1" thickBot="1" x14ac:dyDescent="0.3">
      <c r="A450" s="10" t="s">
        <v>561</v>
      </c>
      <c r="B450" s="10" t="s">
        <v>90</v>
      </c>
      <c r="C450" s="9">
        <f>Williamsexetries</f>
        <v>0</v>
      </c>
      <c r="D450" s="17" t="s">
        <v>561</v>
      </c>
      <c r="E450" s="17" t="s">
        <v>90</v>
      </c>
      <c r="F450" s="20">
        <f>Williamsexepts</f>
        <v>0</v>
      </c>
    </row>
    <row r="451" spans="1:6" ht="14.95" customHeight="1" thickBot="1" x14ac:dyDescent="0.3">
      <c r="A451" s="12" t="s">
        <v>620</v>
      </c>
      <c r="B451" s="12" t="s">
        <v>92</v>
      </c>
      <c r="C451" s="9">
        <f>Wolstenholmebritries</f>
        <v>0</v>
      </c>
      <c r="D451" s="201" t="s">
        <v>620</v>
      </c>
      <c r="E451" s="201" t="s">
        <v>92</v>
      </c>
      <c r="F451" s="19">
        <f>Wolstenholmebripts</f>
        <v>0</v>
      </c>
    </row>
    <row r="452" spans="1:6" ht="14.95" customHeight="1" thickBot="1" x14ac:dyDescent="0.3">
      <c r="A452" s="61" t="s">
        <v>755</v>
      </c>
      <c r="B452" s="61" t="s">
        <v>81</v>
      </c>
      <c r="C452" s="9">
        <f>Williamssaltries</f>
        <v>0</v>
      </c>
      <c r="D452" s="2" t="s">
        <v>755</v>
      </c>
      <c r="E452" s="2" t="s">
        <v>81</v>
      </c>
      <c r="F452" s="18">
        <f>Williamssalpts</f>
        <v>0</v>
      </c>
    </row>
    <row r="453" spans="1:6" ht="14.95" customHeight="1" thickBot="1" x14ac:dyDescent="0.3">
      <c r="A453" s="61" t="s">
        <v>900</v>
      </c>
      <c r="B453" s="10" t="s">
        <v>544</v>
      </c>
      <c r="C453" s="9">
        <f>WoodwardLEItries</f>
        <v>0</v>
      </c>
      <c r="D453" s="2" t="s">
        <v>900</v>
      </c>
      <c r="E453" s="2" t="s">
        <v>544</v>
      </c>
      <c r="F453" s="19">
        <f>WoodwardLEIpts</f>
        <v>0</v>
      </c>
    </row>
    <row r="454" spans="1:6" ht="14.95" customHeight="1" thickBot="1" x14ac:dyDescent="0.3">
      <c r="A454" s="61" t="s">
        <v>142</v>
      </c>
      <c r="B454" s="61" t="s">
        <v>92</v>
      </c>
      <c r="C454" s="9">
        <f>Steelelitries</f>
        <v>0</v>
      </c>
      <c r="D454" s="2" t="s">
        <v>142</v>
      </c>
      <c r="E454" s="2" t="s">
        <v>92</v>
      </c>
      <c r="F454" s="19">
        <f>Steelelipts</f>
        <v>0</v>
      </c>
    </row>
    <row r="455" spans="1:6" ht="14.95" customHeight="1" thickBot="1" x14ac:dyDescent="0.3">
      <c r="A455" s="61" t="s">
        <v>736</v>
      </c>
      <c r="B455" s="61" t="s">
        <v>83</v>
      </c>
      <c r="C455" s="9">
        <f>Wilkinsnortries</f>
        <v>0</v>
      </c>
      <c r="D455" s="17" t="s">
        <v>736</v>
      </c>
      <c r="E455" s="17" t="s">
        <v>83</v>
      </c>
      <c r="F455" s="19">
        <f>Wilkinsnorpts</f>
        <v>0</v>
      </c>
    </row>
    <row r="456" spans="1:6" ht="14.95" customHeight="1" thickBot="1" x14ac:dyDescent="0.3">
      <c r="A456" s="61" t="s">
        <v>179</v>
      </c>
      <c r="B456" s="61" t="s">
        <v>90</v>
      </c>
      <c r="C456" s="9">
        <f>Wyattexetries</f>
        <v>0</v>
      </c>
      <c r="D456" s="2" t="s">
        <v>179</v>
      </c>
      <c r="E456" s="2" t="s">
        <v>90</v>
      </c>
      <c r="F456" s="19">
        <f>Wyattexepts</f>
        <v>0</v>
      </c>
    </row>
    <row r="457" spans="1:6" ht="14.95" customHeight="1" thickBot="1" x14ac:dyDescent="0.3">
      <c r="A457" s="9" t="s">
        <v>13</v>
      </c>
      <c r="B457" s="9"/>
      <c r="C457" s="9">
        <f>SUM(C4:C456)</f>
        <v>364</v>
      </c>
      <c r="D457" s="19" t="s">
        <v>13</v>
      </c>
      <c r="E457" s="19"/>
      <c r="F457" s="19">
        <f>SUM(F4:F456)</f>
        <v>2580</v>
      </c>
    </row>
    <row r="458" spans="1:6" ht="14.95" customHeight="1" x14ac:dyDescent="0.25">
      <c r="A458" s="429" t="s">
        <v>34</v>
      </c>
    </row>
    <row r="459" spans="1:6" ht="14.95" customHeight="1" x14ac:dyDescent="0.25"/>
    <row r="460" spans="1:6" ht="14.95" customHeight="1" x14ac:dyDescent="0.25">
      <c r="A460" s="36"/>
      <c r="B460" s="44"/>
      <c r="C460" s="36"/>
      <c r="D460" s="36"/>
      <c r="E460" s="44"/>
      <c r="F460" s="36"/>
    </row>
    <row r="461" spans="1:6" ht="14.95" customHeight="1" x14ac:dyDescent="0.25">
      <c r="A461" s="36"/>
      <c r="B461" s="44"/>
      <c r="C461" s="36"/>
      <c r="D461" s="36"/>
      <c r="E461" s="44"/>
      <c r="F461" s="36"/>
    </row>
    <row r="462" spans="1:6" ht="14.95" customHeight="1" x14ac:dyDescent="0.25">
      <c r="A462" s="36"/>
      <c r="B462" s="44"/>
      <c r="C462" s="36"/>
      <c r="D462" s="36"/>
      <c r="E462" s="44"/>
      <c r="F462" s="36"/>
    </row>
    <row r="463" spans="1:6" ht="14.95" customHeight="1" x14ac:dyDescent="0.25">
      <c r="A463" s="36"/>
      <c r="B463" s="44"/>
      <c r="C463" s="36"/>
      <c r="D463" s="36"/>
      <c r="E463" s="44"/>
      <c r="F463" s="36"/>
    </row>
    <row r="464" spans="1:6" ht="14.95" customHeight="1" x14ac:dyDescent="0.25">
      <c r="A464" s="36"/>
      <c r="B464" s="44"/>
      <c r="C464" s="36"/>
      <c r="D464" s="36"/>
      <c r="E464" s="44"/>
      <c r="F464" s="36"/>
    </row>
    <row r="465" spans="1:6" ht="14.95" customHeight="1" x14ac:dyDescent="0.25">
      <c r="A465" s="36"/>
      <c r="B465" s="44"/>
      <c r="C465" s="36"/>
      <c r="D465" s="36"/>
      <c r="E465" s="44"/>
      <c r="F465" s="36"/>
    </row>
    <row r="466" spans="1:6" ht="14.95" customHeight="1" x14ac:dyDescent="0.25">
      <c r="A466" s="36"/>
      <c r="B466" s="44"/>
      <c r="C466" s="36"/>
      <c r="D466" s="36"/>
      <c r="E466" s="44"/>
      <c r="F466" s="36"/>
    </row>
    <row r="467" spans="1:6" ht="14.95" customHeight="1" x14ac:dyDescent="0.25">
      <c r="A467" s="36"/>
      <c r="B467" s="44"/>
      <c r="C467" s="36"/>
      <c r="D467" s="36"/>
      <c r="E467" s="44"/>
      <c r="F467" s="36"/>
    </row>
    <row r="468" spans="1:6" ht="14.95" customHeight="1" x14ac:dyDescent="0.25">
      <c r="A468" s="36"/>
      <c r="B468" s="44"/>
      <c r="C468" s="36"/>
      <c r="D468" s="36"/>
      <c r="E468" s="44"/>
      <c r="F468" s="36"/>
    </row>
    <row r="469" spans="1:6" ht="14.95" customHeight="1" x14ac:dyDescent="0.25">
      <c r="A469" s="36"/>
      <c r="B469" s="44"/>
      <c r="C469" s="36"/>
      <c r="D469" s="36"/>
      <c r="E469" s="44"/>
      <c r="F469" s="36"/>
    </row>
    <row r="470" spans="1:6" ht="14.95" customHeight="1" x14ac:dyDescent="0.25">
      <c r="A470" s="36"/>
      <c r="B470" s="44"/>
      <c r="C470" s="36"/>
      <c r="D470" s="36"/>
      <c r="E470" s="44"/>
      <c r="F470" s="36"/>
    </row>
    <row r="471" spans="1:6" ht="14.95" customHeight="1" x14ac:dyDescent="0.25">
      <c r="A471" s="36"/>
      <c r="B471" s="44"/>
      <c r="C471" s="36"/>
      <c r="D471" s="36"/>
      <c r="E471" s="44"/>
      <c r="F471" s="36"/>
    </row>
    <row r="472" spans="1:6" ht="14.95" customHeight="1" x14ac:dyDescent="0.25">
      <c r="A472" s="36"/>
      <c r="B472" s="44"/>
      <c r="C472" s="36"/>
      <c r="D472" s="36"/>
      <c r="E472" s="44"/>
      <c r="F472" s="36"/>
    </row>
    <row r="473" spans="1:6" ht="14.95" customHeight="1" x14ac:dyDescent="0.25">
      <c r="A473" s="36"/>
      <c r="B473" s="36"/>
      <c r="C473" s="36"/>
      <c r="D473" s="36"/>
      <c r="E473" s="36"/>
      <c r="F473" s="36"/>
    </row>
    <row r="474" spans="1:6" ht="14.95" customHeight="1" x14ac:dyDescent="0.25"/>
    <row r="475" spans="1:6" ht="14.95" customHeight="1" x14ac:dyDescent="0.25"/>
    <row r="476" spans="1:6" ht="14.95" customHeight="1" x14ac:dyDescent="0.25"/>
    <row r="477" spans="1:6" ht="14.95" customHeight="1" x14ac:dyDescent="0.25"/>
    <row r="478" spans="1:6" ht="14.95" customHeight="1" x14ac:dyDescent="0.25"/>
    <row r="479" spans="1:6" ht="14.95" customHeight="1" x14ac:dyDescent="0.25"/>
    <row r="480" spans="1:6" ht="14.95" customHeight="1" x14ac:dyDescent="0.25"/>
    <row r="481" ht="14.95" customHeight="1" x14ac:dyDescent="0.25"/>
    <row r="482" ht="14.95" customHeight="1" x14ac:dyDescent="0.25"/>
    <row r="483" ht="14.95" customHeight="1" x14ac:dyDescent="0.25"/>
    <row r="484" ht="14.95" customHeight="1" x14ac:dyDescent="0.25"/>
    <row r="485" ht="14.95" customHeight="1" x14ac:dyDescent="0.25"/>
    <row r="486" ht="14.95" customHeight="1" x14ac:dyDescent="0.25"/>
    <row r="487" ht="14.95" customHeight="1" x14ac:dyDescent="0.25"/>
    <row r="488" ht="14.95" customHeight="1" x14ac:dyDescent="0.25"/>
    <row r="489" ht="14.95" customHeight="1" x14ac:dyDescent="0.25"/>
    <row r="490" ht="14.95" customHeight="1" x14ac:dyDescent="0.25"/>
    <row r="491" ht="14.95" customHeight="1" x14ac:dyDescent="0.25"/>
    <row r="492" ht="14.95" customHeight="1" x14ac:dyDescent="0.25"/>
    <row r="493" ht="14.95" customHeight="1" x14ac:dyDescent="0.25"/>
    <row r="494" ht="14.95" customHeight="1" x14ac:dyDescent="0.25"/>
    <row r="495" ht="14.95" customHeight="1" x14ac:dyDescent="0.25"/>
    <row r="496" ht="14.95" customHeight="1" x14ac:dyDescent="0.25"/>
    <row r="497" ht="14.95" customHeight="1" x14ac:dyDescent="0.25"/>
    <row r="498" ht="14.95" customHeight="1" x14ac:dyDescent="0.25"/>
    <row r="499" ht="14.95" customHeight="1" x14ac:dyDescent="0.25"/>
    <row r="500" ht="14.95" customHeight="1" x14ac:dyDescent="0.25"/>
    <row r="501" ht="14.95" customHeight="1" x14ac:dyDescent="0.25"/>
    <row r="502" ht="14.95" customHeight="1" x14ac:dyDescent="0.25"/>
    <row r="503" ht="14.95" customHeight="1" x14ac:dyDescent="0.25"/>
    <row r="504" ht="14.95" customHeight="1" x14ac:dyDescent="0.25"/>
    <row r="505" ht="14.95" customHeight="1" x14ac:dyDescent="0.25"/>
    <row r="506" ht="14.95" customHeight="1" x14ac:dyDescent="0.25"/>
    <row r="507" ht="14.95" customHeight="1" x14ac:dyDescent="0.25"/>
    <row r="508" ht="14.95" customHeight="1" x14ac:dyDescent="0.25"/>
    <row r="509" ht="14.95" customHeight="1" x14ac:dyDescent="0.25"/>
    <row r="510" ht="14.95" customHeight="1" x14ac:dyDescent="0.25"/>
    <row r="511" ht="14.95" customHeight="1" x14ac:dyDescent="0.25"/>
    <row r="512" ht="14.95" customHeight="1" x14ac:dyDescent="0.25"/>
    <row r="513" ht="14.95" customHeight="1" x14ac:dyDescent="0.25"/>
    <row r="514" ht="14.95" customHeight="1" x14ac:dyDescent="0.25"/>
    <row r="515" ht="14.95" customHeight="1" x14ac:dyDescent="0.25"/>
    <row r="516" ht="14.95" customHeight="1" x14ac:dyDescent="0.25"/>
    <row r="517" ht="14.95" customHeight="1" x14ac:dyDescent="0.25"/>
    <row r="518" ht="14.95" customHeight="1" x14ac:dyDescent="0.25"/>
    <row r="519" ht="14.95" customHeight="1" x14ac:dyDescent="0.25"/>
    <row r="520" ht="14.95" customHeight="1" x14ac:dyDescent="0.25"/>
    <row r="521" ht="14.95" customHeight="1" x14ac:dyDescent="0.25"/>
    <row r="522" ht="14.95" customHeight="1" x14ac:dyDescent="0.25"/>
    <row r="523" ht="14.95" customHeight="1" x14ac:dyDescent="0.25"/>
    <row r="524" ht="14.95" customHeight="1" x14ac:dyDescent="0.25"/>
    <row r="525" ht="14.95" customHeight="1" x14ac:dyDescent="0.25"/>
    <row r="526" ht="14.95" customHeight="1" x14ac:dyDescent="0.25"/>
    <row r="527" ht="14.95" customHeight="1" x14ac:dyDescent="0.25"/>
    <row r="528" ht="14.95" customHeight="1" x14ac:dyDescent="0.25"/>
    <row r="529" ht="14.95" customHeight="1" x14ac:dyDescent="0.25"/>
    <row r="530" ht="14.95" customHeight="1" x14ac:dyDescent="0.25"/>
    <row r="531" ht="14.95" customHeight="1" x14ac:dyDescent="0.25"/>
    <row r="532" ht="14.95" customHeight="1" x14ac:dyDescent="0.25"/>
    <row r="533" ht="14.95" customHeight="1" x14ac:dyDescent="0.25"/>
    <row r="534" ht="14.95" customHeight="1" x14ac:dyDescent="0.25"/>
    <row r="535" ht="14.95" customHeight="1" x14ac:dyDescent="0.25"/>
    <row r="536" ht="14.95" customHeight="1" x14ac:dyDescent="0.25"/>
    <row r="537" ht="14.95" customHeight="1" x14ac:dyDescent="0.25"/>
    <row r="538" ht="14.95" customHeight="1" x14ac:dyDescent="0.25"/>
    <row r="539" ht="14.95" customHeight="1" x14ac:dyDescent="0.25"/>
    <row r="540" ht="14.95" customHeight="1" x14ac:dyDescent="0.25"/>
    <row r="541" ht="14.95" customHeight="1" x14ac:dyDescent="0.25"/>
    <row r="542" ht="14.95" customHeight="1" x14ac:dyDescent="0.25"/>
    <row r="543" ht="14.95" customHeight="1" x14ac:dyDescent="0.25"/>
    <row r="544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ht="14.95" customHeight="1" x14ac:dyDescent="0.25"/>
    <row r="578" ht="14.95" customHeight="1" x14ac:dyDescent="0.25"/>
    <row r="579" ht="14.95" customHeight="1" x14ac:dyDescent="0.25"/>
    <row r="580" ht="14.95" customHeight="1" x14ac:dyDescent="0.25"/>
    <row r="581" ht="14.95" customHeight="1" x14ac:dyDescent="0.25"/>
    <row r="582" ht="14.95" customHeight="1" x14ac:dyDescent="0.25"/>
    <row r="583" ht="14.95" customHeight="1" x14ac:dyDescent="0.25"/>
    <row r="584" ht="14.95" customHeight="1" x14ac:dyDescent="0.25"/>
    <row r="585" ht="14.95" customHeight="1" x14ac:dyDescent="0.25"/>
    <row r="586" ht="14.95" customHeight="1" x14ac:dyDescent="0.25"/>
    <row r="587" ht="14.95" customHeight="1" x14ac:dyDescent="0.25"/>
    <row r="597" spans="7:7" x14ac:dyDescent="0.25">
      <c r="G597" s="303"/>
    </row>
    <row r="620" spans="7:7" ht="14.8" customHeight="1" x14ac:dyDescent="0.25">
      <c r="G620" s="36"/>
    </row>
    <row r="621" spans="7:7" x14ac:dyDescent="0.25">
      <c r="G621" s="36"/>
    </row>
    <row r="622" spans="7:7" ht="14.95" customHeight="1" x14ac:dyDescent="0.25">
      <c r="G622" s="36"/>
    </row>
    <row r="623" spans="7:7" ht="14.95" customHeight="1" x14ac:dyDescent="0.25">
      <c r="G623" s="36"/>
    </row>
    <row r="624" spans="7:7" x14ac:dyDescent="0.25">
      <c r="G624" s="36"/>
    </row>
    <row r="625" spans="7:7" x14ac:dyDescent="0.25">
      <c r="G625" s="36"/>
    </row>
    <row r="626" spans="7:7" x14ac:dyDescent="0.25">
      <c r="G626" s="36"/>
    </row>
    <row r="627" spans="7:7" x14ac:dyDescent="0.25">
      <c r="G627" s="36"/>
    </row>
    <row r="628" spans="7:7" x14ac:dyDescent="0.25">
      <c r="G628" s="36"/>
    </row>
    <row r="629" spans="7:7" x14ac:dyDescent="0.25">
      <c r="G629" s="36"/>
    </row>
    <row r="630" spans="7:7" ht="14.8" customHeight="1" x14ac:dyDescent="0.25">
      <c r="G630" s="36"/>
    </row>
    <row r="631" spans="7:7" x14ac:dyDescent="0.25">
      <c r="G631" s="36"/>
    </row>
    <row r="632" spans="7:7" ht="15.8" customHeight="1" x14ac:dyDescent="0.25">
      <c r="G632" s="36"/>
    </row>
    <row r="633" spans="7:7" x14ac:dyDescent="0.25">
      <c r="G633" s="36"/>
    </row>
    <row r="634" spans="7:7" ht="15.8" customHeight="1" x14ac:dyDescent="0.25"/>
    <row r="635" spans="7:7" ht="14.95" customHeight="1" x14ac:dyDescent="0.25"/>
    <row r="636" spans="7:7" ht="15.65" customHeight="1" x14ac:dyDescent="0.25"/>
    <row r="639" spans="7:7" ht="14.3" customHeight="1" x14ac:dyDescent="0.25"/>
    <row r="640" spans="7:7" ht="14.8" customHeight="1" x14ac:dyDescent="0.25"/>
  </sheetData>
  <sortState xmlns:xlrd2="http://schemas.microsoft.com/office/spreadsheetml/2017/richdata2" ref="G4:K29">
    <sortCondition sortBy="fontColor" ref="J4:J29" dxfId="1"/>
    <sortCondition descending="1" ref="K4:K29"/>
    <sortCondition descending="1" ref="J4:J29"/>
    <sortCondition ref="G4:G29"/>
  </sortState>
  <mergeCells count="5">
    <mergeCell ref="O3:Q3"/>
    <mergeCell ref="L3:N3"/>
    <mergeCell ref="O14:Q14"/>
    <mergeCell ref="L24:N24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840-AC33-47E5-93F0-762FA9549DDE}">
  <dimension ref="A1:K511"/>
  <sheetViews>
    <sheetView topLeftCell="A271" workbookViewId="0">
      <selection activeCell="F288" sqref="F288"/>
    </sheetView>
  </sheetViews>
  <sheetFormatPr defaultRowHeight="14.3" x14ac:dyDescent="0.25"/>
  <cols>
    <col min="1" max="1" width="20.625" customWidth="1"/>
    <col min="2" max="2" width="4.5" bestFit="1" customWidth="1"/>
    <col min="3" max="3" width="5.625" customWidth="1"/>
    <col min="4" max="4" width="20.625" customWidth="1"/>
    <col min="5" max="5" width="4.5" bestFit="1" customWidth="1"/>
    <col min="6" max="6" width="5.625" customWidth="1"/>
    <col min="7" max="7" width="20.625" customWidth="1"/>
    <col min="8" max="8" width="4.75" bestFit="1" customWidth="1"/>
    <col min="9" max="11" width="5.625" customWidth="1"/>
  </cols>
  <sheetData>
    <row r="1" spans="1:11" x14ac:dyDescent="0.25">
      <c r="A1" s="574" t="s">
        <v>1033</v>
      </c>
      <c r="B1" s="551"/>
      <c r="C1" s="551"/>
    </row>
    <row r="2" spans="1:11" ht="14.95" thickBot="1" x14ac:dyDescent="0.3">
      <c r="A2" s="363" t="s">
        <v>1083</v>
      </c>
      <c r="B2" s="100"/>
      <c r="C2" s="100"/>
    </row>
    <row r="3" spans="1:11" ht="14.95" customHeight="1" thickBot="1" x14ac:dyDescent="0.3">
      <c r="A3" s="369" t="s">
        <v>26</v>
      </c>
      <c r="B3" s="370"/>
      <c r="C3" s="370"/>
      <c r="D3" s="389" t="s">
        <v>8</v>
      </c>
      <c r="E3" s="389"/>
      <c r="F3" s="389"/>
      <c r="G3" s="572" t="s">
        <v>35</v>
      </c>
      <c r="H3" s="573"/>
      <c r="I3" s="371" t="s">
        <v>46</v>
      </c>
      <c r="J3" s="371" t="s">
        <v>9</v>
      </c>
      <c r="K3" s="372" t="s">
        <v>10</v>
      </c>
    </row>
    <row r="4" spans="1:11" ht="14.95" customHeight="1" thickBot="1" x14ac:dyDescent="0.3">
      <c r="A4" s="373" t="s">
        <v>885</v>
      </c>
      <c r="B4" s="374" t="s">
        <v>322</v>
      </c>
      <c r="C4" s="385">
        <f>brackenjsarpremcuptries</f>
        <v>4</v>
      </c>
      <c r="D4" s="390" t="s">
        <v>761</v>
      </c>
      <c r="E4" s="390" t="s">
        <v>322</v>
      </c>
      <c r="F4" s="391">
        <f>johnsonsarpremcuppts</f>
        <v>25</v>
      </c>
      <c r="G4" s="379" t="s">
        <v>737</v>
      </c>
      <c r="H4" s="376" t="s">
        <v>92</v>
      </c>
      <c r="I4" s="400">
        <f>Worsleybripremcupgls</f>
        <v>5</v>
      </c>
      <c r="J4" s="400">
        <f>Worsleybripremcupatt</f>
        <v>5</v>
      </c>
      <c r="K4" s="401">
        <f t="shared" ref="K4:K30" si="0">SUM(I4/J4)*100</f>
        <v>100</v>
      </c>
    </row>
    <row r="5" spans="1:11" ht="14.95" customHeight="1" thickBot="1" x14ac:dyDescent="0.3">
      <c r="A5" s="373" t="s">
        <v>252</v>
      </c>
      <c r="B5" s="374" t="s">
        <v>83</v>
      </c>
      <c r="C5" s="385">
        <f>chicknorpremcuptries</f>
        <v>3</v>
      </c>
      <c r="D5" s="390" t="s">
        <v>965</v>
      </c>
      <c r="E5" s="390" t="s">
        <v>83</v>
      </c>
      <c r="F5" s="388">
        <f>Belleaunorpremcuppts</f>
        <v>24</v>
      </c>
      <c r="G5" s="376" t="s">
        <v>965</v>
      </c>
      <c r="H5" s="376" t="s">
        <v>83</v>
      </c>
      <c r="I5" s="400">
        <f>Belleaunorpremcupgls</f>
        <v>12</v>
      </c>
      <c r="J5" s="400">
        <f>Belleaunorpremcupatt</f>
        <v>13</v>
      </c>
      <c r="K5" s="402">
        <f t="shared" si="0"/>
        <v>92.307692307692307</v>
      </c>
    </row>
    <row r="6" spans="1:11" ht="14.95" customHeight="1" thickBot="1" x14ac:dyDescent="0.3">
      <c r="A6" s="373" t="s">
        <v>396</v>
      </c>
      <c r="B6" s="374" t="s">
        <v>322</v>
      </c>
      <c r="C6" s="385">
        <f>jacksonsarpremcuptries</f>
        <v>3</v>
      </c>
      <c r="D6" s="390" t="s">
        <v>178</v>
      </c>
      <c r="E6" s="390" t="s">
        <v>80</v>
      </c>
      <c r="F6" s="388">
        <f>bartonglopremcuppfts</f>
        <v>20</v>
      </c>
      <c r="G6" s="379" t="s">
        <v>177</v>
      </c>
      <c r="H6" s="376" t="s">
        <v>80</v>
      </c>
      <c r="I6" s="400">
        <f>Bartonglopremcupgls</f>
        <v>10</v>
      </c>
      <c r="J6" s="400">
        <f>Bartonglopremcupatt</f>
        <v>14</v>
      </c>
      <c r="K6" s="402">
        <f t="shared" si="0"/>
        <v>71.428571428571431</v>
      </c>
    </row>
    <row r="7" spans="1:11" ht="14.95" customHeight="1" thickBot="1" x14ac:dyDescent="0.3">
      <c r="A7" s="373" t="s">
        <v>1068</v>
      </c>
      <c r="B7" s="374" t="s">
        <v>917</v>
      </c>
      <c r="C7" s="385">
        <f>Moorenrbpremcuptries</f>
        <v>3</v>
      </c>
      <c r="D7" s="390" t="s">
        <v>885</v>
      </c>
      <c r="E7" s="390" t="s">
        <v>322</v>
      </c>
      <c r="F7" s="388">
        <f>brackenjsarpremcuppts</f>
        <v>20</v>
      </c>
      <c r="G7" s="376" t="s">
        <v>125</v>
      </c>
      <c r="H7" s="376" t="s">
        <v>92</v>
      </c>
      <c r="I7" s="400">
        <f>MacGintybripremcupgls</f>
        <v>5</v>
      </c>
      <c r="J7" s="400">
        <f>MacGintybripremcupatt</f>
        <v>7</v>
      </c>
      <c r="K7" s="402">
        <f t="shared" si="0"/>
        <v>71.428571428571431</v>
      </c>
    </row>
    <row r="8" spans="1:11" ht="14.95" customHeight="1" thickBot="1" x14ac:dyDescent="0.3">
      <c r="A8" s="373" t="s">
        <v>972</v>
      </c>
      <c r="B8" s="374" t="s">
        <v>83</v>
      </c>
      <c r="C8" s="385">
        <f>vandermeschtnorpremcuptries</f>
        <v>3</v>
      </c>
      <c r="D8" s="390" t="s">
        <v>211</v>
      </c>
      <c r="E8" s="390" t="s">
        <v>82</v>
      </c>
      <c r="F8" s="388">
        <f>deglanvillebthpremcuppts</f>
        <v>19</v>
      </c>
      <c r="G8" s="437" t="s">
        <v>157</v>
      </c>
      <c r="H8" s="376" t="s">
        <v>81</v>
      </c>
      <c r="I8" s="400">
        <f>dupreezrsalpremcupgls</f>
        <v>4</v>
      </c>
      <c r="J8" s="400">
        <f>dupreezrsalpremcupatt</f>
        <v>6</v>
      </c>
      <c r="K8" s="402">
        <f t="shared" si="0"/>
        <v>66.666666666666657</v>
      </c>
    </row>
    <row r="9" spans="1:11" ht="14.95" customHeight="1" thickBot="1" x14ac:dyDescent="0.3">
      <c r="A9" s="373" t="s">
        <v>249</v>
      </c>
      <c r="B9" s="380" t="s">
        <v>544</v>
      </c>
      <c r="C9" s="385">
        <f>blamireleipremcuptries</f>
        <v>2</v>
      </c>
      <c r="D9" s="392" t="s">
        <v>252</v>
      </c>
      <c r="E9" s="392" t="s">
        <v>83</v>
      </c>
      <c r="F9" s="388">
        <f>chicknorpremcuppts</f>
        <v>15</v>
      </c>
      <c r="G9" s="376" t="s">
        <v>987</v>
      </c>
      <c r="H9" s="376" t="s">
        <v>544</v>
      </c>
      <c r="I9" s="400">
        <f>Searleleipremcupgls</f>
        <v>4</v>
      </c>
      <c r="J9" s="400">
        <f>Searleleipremcupatt</f>
        <v>6</v>
      </c>
      <c r="K9" s="402">
        <f t="shared" si="0"/>
        <v>66.666666666666657</v>
      </c>
    </row>
    <row r="10" spans="1:11" ht="14.95" customHeight="1" thickBot="1" x14ac:dyDescent="0.3">
      <c r="A10" s="373" t="s">
        <v>629</v>
      </c>
      <c r="B10" s="374" t="s">
        <v>92</v>
      </c>
      <c r="C10" s="385">
        <f>boshoffbripremcuptries</f>
        <v>2</v>
      </c>
      <c r="D10" s="390" t="s">
        <v>260</v>
      </c>
      <c r="E10" s="390" t="s">
        <v>917</v>
      </c>
      <c r="F10" s="391">
        <f>connonnrbpremcuppts</f>
        <v>15</v>
      </c>
      <c r="G10" s="379" t="s">
        <v>260</v>
      </c>
      <c r="H10" s="376" t="s">
        <v>917</v>
      </c>
      <c r="I10" s="400">
        <f>Connonnrbpremcupgls</f>
        <v>7</v>
      </c>
      <c r="J10" s="400">
        <f>Connonnrbpremcupatt</f>
        <v>11</v>
      </c>
      <c r="K10" s="401">
        <f t="shared" si="0"/>
        <v>63.636363636363633</v>
      </c>
    </row>
    <row r="11" spans="1:11" ht="14.95" customHeight="1" thickBot="1" x14ac:dyDescent="0.3">
      <c r="A11" s="373" t="s">
        <v>312</v>
      </c>
      <c r="B11" s="374" t="s">
        <v>82</v>
      </c>
      <c r="C11" s="385">
        <f>buttbthpremcuptries</f>
        <v>2</v>
      </c>
      <c r="D11" s="390" t="s">
        <v>396</v>
      </c>
      <c r="E11" s="390" t="s">
        <v>322</v>
      </c>
      <c r="F11" s="388">
        <f>jacksonsarpremcuppts</f>
        <v>15</v>
      </c>
      <c r="G11" s="376" t="s">
        <v>211</v>
      </c>
      <c r="H11" s="376" t="s">
        <v>82</v>
      </c>
      <c r="I11" s="400">
        <f>de_Gl_villebthpremcupgls</f>
        <v>7</v>
      </c>
      <c r="J11" s="400">
        <f>de_Gl_villebthpremcupatt</f>
        <v>11</v>
      </c>
      <c r="K11" s="402">
        <f t="shared" si="0"/>
        <v>63.636363636363633</v>
      </c>
    </row>
    <row r="12" spans="1:11" ht="14.95" customHeight="1" thickBot="1" x14ac:dyDescent="0.3">
      <c r="A12" s="373" t="s">
        <v>674</v>
      </c>
      <c r="B12" s="374" t="s">
        <v>89</v>
      </c>
      <c r="C12" s="385">
        <f>driscollharpremcuptries</f>
        <v>2</v>
      </c>
      <c r="D12" s="390" t="s">
        <v>1068</v>
      </c>
      <c r="E12" s="390" t="s">
        <v>917</v>
      </c>
      <c r="F12" s="388">
        <f>Moorenrbpremcuppts</f>
        <v>15</v>
      </c>
      <c r="G12" s="376" t="s">
        <v>186</v>
      </c>
      <c r="H12" s="376" t="s">
        <v>81</v>
      </c>
      <c r="I12" s="400">
        <f>Curtissalpremcupgls</f>
        <v>6</v>
      </c>
      <c r="J12" s="400">
        <f>Curtissalpremcupatt</f>
        <v>10</v>
      </c>
      <c r="K12" s="402">
        <f t="shared" si="0"/>
        <v>60</v>
      </c>
    </row>
    <row r="13" spans="1:11" ht="14.95" customHeight="1" thickBot="1" x14ac:dyDescent="0.3">
      <c r="A13" s="373" t="s">
        <v>362</v>
      </c>
      <c r="B13" s="374" t="s">
        <v>81</v>
      </c>
      <c r="C13" s="385">
        <f>dugdalealpremcuptries</f>
        <v>2</v>
      </c>
      <c r="D13" s="390" t="s">
        <v>972</v>
      </c>
      <c r="E13" s="390" t="s">
        <v>83</v>
      </c>
      <c r="F13" s="388">
        <f>vandermeschtnorpremcuppts</f>
        <v>15</v>
      </c>
      <c r="G13" s="376" t="s">
        <v>135</v>
      </c>
      <c r="H13" s="376" t="s">
        <v>90</v>
      </c>
      <c r="I13" s="400">
        <f>Sladeexepremcupgls</f>
        <v>3</v>
      </c>
      <c r="J13" s="400">
        <f>Sladeexepremcupatt</f>
        <v>5</v>
      </c>
      <c r="K13" s="402">
        <f t="shared" si="0"/>
        <v>60</v>
      </c>
    </row>
    <row r="14" spans="1:11" ht="14.95" customHeight="1" thickBot="1" x14ac:dyDescent="0.3">
      <c r="A14" s="373" t="s">
        <v>814</v>
      </c>
      <c r="B14" s="374" t="s">
        <v>82</v>
      </c>
      <c r="C14" s="385">
        <f>greenbthpremcuptries</f>
        <v>2</v>
      </c>
      <c r="D14" s="390" t="s">
        <v>186</v>
      </c>
      <c r="E14" s="390" t="s">
        <v>81</v>
      </c>
      <c r="F14" s="388">
        <f>curtissalpremcuppts</f>
        <v>12</v>
      </c>
      <c r="G14" s="376" t="s">
        <v>761</v>
      </c>
      <c r="H14" s="376" t="s">
        <v>322</v>
      </c>
      <c r="I14" s="400">
        <f>Johnsonsarpremcupgls</f>
        <v>12</v>
      </c>
      <c r="J14" s="400">
        <f>Johnsonsarpremcupatt</f>
        <v>23</v>
      </c>
      <c r="K14" s="402">
        <f t="shared" si="0"/>
        <v>52.173913043478258</v>
      </c>
    </row>
    <row r="15" spans="1:11" ht="14.95" customHeight="1" thickBot="1" x14ac:dyDescent="0.3">
      <c r="A15" s="377" t="s">
        <v>1051</v>
      </c>
      <c r="B15" s="378" t="s">
        <v>82</v>
      </c>
      <c r="C15" s="386">
        <f>griffincbthpremcuptries</f>
        <v>2</v>
      </c>
      <c r="D15" s="392" t="s">
        <v>412</v>
      </c>
      <c r="E15" s="392" t="s">
        <v>92</v>
      </c>
      <c r="F15" s="388">
        <f>macgintybripremcuppts</f>
        <v>11</v>
      </c>
      <c r="G15" s="376" t="s">
        <v>1004</v>
      </c>
      <c r="H15" s="376" t="s">
        <v>82</v>
      </c>
      <c r="I15" s="400">
        <f>Linegarbthpremcupgls</f>
        <v>3</v>
      </c>
      <c r="J15" s="400">
        <f>Linegarbthpremcupatt</f>
        <v>6</v>
      </c>
      <c r="K15" s="402">
        <f t="shared" si="0"/>
        <v>50</v>
      </c>
    </row>
    <row r="16" spans="1:11" ht="14.95" customHeight="1" thickBot="1" x14ac:dyDescent="0.3">
      <c r="A16" s="373" t="s">
        <v>645</v>
      </c>
      <c r="B16" s="374" t="s">
        <v>92</v>
      </c>
      <c r="C16" s="385">
        <f>gwilliambripremcuptries</f>
        <v>2</v>
      </c>
      <c r="D16" s="390" t="s">
        <v>737</v>
      </c>
      <c r="E16" s="390" t="s">
        <v>92</v>
      </c>
      <c r="F16" s="388">
        <f>Worsleybripremcuppts</f>
        <v>11</v>
      </c>
      <c r="G16" s="376" t="s">
        <v>924</v>
      </c>
      <c r="H16" s="376" t="s">
        <v>544</v>
      </c>
      <c r="I16" s="400">
        <f>titcombeleipremcupgls</f>
        <v>3</v>
      </c>
      <c r="J16" s="400">
        <f>titcombeleipremcupatt</f>
        <v>6</v>
      </c>
      <c r="K16" s="401">
        <f t="shared" si="0"/>
        <v>50</v>
      </c>
    </row>
    <row r="17" spans="1:11" ht="14.95" customHeight="1" thickBot="1" x14ac:dyDescent="0.3">
      <c r="A17" s="373" t="s">
        <v>1061</v>
      </c>
      <c r="B17" s="374" t="s">
        <v>80</v>
      </c>
      <c r="C17" s="385">
        <f>jamesglopremcuptries</f>
        <v>2</v>
      </c>
      <c r="D17" s="390" t="s">
        <v>249</v>
      </c>
      <c r="E17" s="390" t="s">
        <v>544</v>
      </c>
      <c r="F17" s="388">
        <f>blamireleipremcuppts</f>
        <v>10</v>
      </c>
      <c r="G17" s="379" t="s">
        <v>293</v>
      </c>
      <c r="H17" s="376" t="s">
        <v>544</v>
      </c>
      <c r="I17" s="400">
        <f>Baileyleipremcupgls</f>
        <v>2</v>
      </c>
      <c r="J17" s="400">
        <f>Baileyleipremcupatt</f>
        <v>5</v>
      </c>
      <c r="K17" s="401">
        <f t="shared" si="0"/>
        <v>40</v>
      </c>
    </row>
    <row r="18" spans="1:11" ht="14.95" customHeight="1" thickBot="1" x14ac:dyDescent="0.3">
      <c r="A18" s="373" t="s">
        <v>937</v>
      </c>
      <c r="B18" s="374" t="s">
        <v>80</v>
      </c>
      <c r="C18" s="385">
        <f>knightwglotries</f>
        <v>2</v>
      </c>
      <c r="D18" s="390" t="s">
        <v>629</v>
      </c>
      <c r="E18" s="390" t="s">
        <v>92</v>
      </c>
      <c r="F18" s="388">
        <f>boshoffbripremcuppts</f>
        <v>10</v>
      </c>
      <c r="G18" s="379" t="s">
        <v>432</v>
      </c>
      <c r="H18" s="376" t="s">
        <v>89</v>
      </c>
      <c r="I18" s="400">
        <f>Slevinharpremcupgls</f>
        <v>4</v>
      </c>
      <c r="J18" s="436">
        <f>sleveinharpremcupatt</f>
        <v>4</v>
      </c>
      <c r="K18" s="401">
        <f t="shared" si="0"/>
        <v>100</v>
      </c>
    </row>
    <row r="19" spans="1:11" ht="14.95" customHeight="1" thickBot="1" x14ac:dyDescent="0.3">
      <c r="A19" s="373" t="s">
        <v>777</v>
      </c>
      <c r="B19" s="374" t="s">
        <v>322</v>
      </c>
      <c r="C19" s="385">
        <f>michelowsarpremcuptries</f>
        <v>2</v>
      </c>
      <c r="D19" s="390" t="s">
        <v>312</v>
      </c>
      <c r="E19" s="390" t="s">
        <v>82</v>
      </c>
      <c r="F19" s="388">
        <f>buttbthpremcuppts</f>
        <v>10</v>
      </c>
      <c r="G19" s="376" t="s">
        <v>1066</v>
      </c>
      <c r="H19" s="376" t="s">
        <v>90</v>
      </c>
      <c r="I19" s="400">
        <f>Coenexepremcupgls</f>
        <v>1</v>
      </c>
      <c r="J19" s="436">
        <f>Coenexepremcupatt</f>
        <v>1</v>
      </c>
      <c r="K19" s="402">
        <f t="shared" si="0"/>
        <v>100</v>
      </c>
    </row>
    <row r="20" spans="1:11" ht="14.95" customHeight="1" thickBot="1" x14ac:dyDescent="0.3">
      <c r="A20" s="373" t="s">
        <v>983</v>
      </c>
      <c r="B20" s="374" t="s">
        <v>544</v>
      </c>
      <c r="C20" s="385">
        <f>moroleipremcuptries</f>
        <v>2</v>
      </c>
      <c r="D20" s="390" t="s">
        <v>674</v>
      </c>
      <c r="E20" s="390" t="s">
        <v>89</v>
      </c>
      <c r="F20" s="388">
        <f>driscollharpremcuppts</f>
        <v>10</v>
      </c>
      <c r="G20" s="379" t="s">
        <v>919</v>
      </c>
      <c r="H20" s="376" t="s">
        <v>89</v>
      </c>
      <c r="I20" s="400">
        <f>kerrharpremcupgls</f>
        <v>1</v>
      </c>
      <c r="J20" s="436">
        <f>kerrharpremcupatt</f>
        <v>1</v>
      </c>
      <c r="K20" s="402">
        <f t="shared" si="0"/>
        <v>100</v>
      </c>
    </row>
    <row r="21" spans="1:11" ht="14.95" customHeight="1" thickBot="1" x14ac:dyDescent="0.3">
      <c r="A21" s="373" t="s">
        <v>128</v>
      </c>
      <c r="B21" s="374" t="s">
        <v>81</v>
      </c>
      <c r="C21" s="385">
        <f>oflahertysalpremcuptries</f>
        <v>2</v>
      </c>
      <c r="D21" s="390" t="s">
        <v>362</v>
      </c>
      <c r="E21" s="390" t="s">
        <v>81</v>
      </c>
      <c r="F21" s="388">
        <f>dugdalealpremcuppts</f>
        <v>10</v>
      </c>
      <c r="G21" s="376" t="s">
        <v>1055</v>
      </c>
      <c r="H21" s="376" t="s">
        <v>83</v>
      </c>
      <c r="I21" s="400">
        <f>Paternorpremcupgls</f>
        <v>1</v>
      </c>
      <c r="J21" s="436">
        <f>Paternorpremcupatt</f>
        <v>1</v>
      </c>
      <c r="K21" s="402">
        <f t="shared" si="0"/>
        <v>100</v>
      </c>
    </row>
    <row r="22" spans="1:11" ht="14.95" customHeight="1" thickBot="1" x14ac:dyDescent="0.3">
      <c r="A22" s="373" t="s">
        <v>548</v>
      </c>
      <c r="B22" s="374" t="s">
        <v>92</v>
      </c>
      <c r="C22" s="385">
        <f>oghrebripremcuptries</f>
        <v>2</v>
      </c>
      <c r="D22" s="390" t="s">
        <v>814</v>
      </c>
      <c r="E22" s="390" t="s">
        <v>82</v>
      </c>
      <c r="F22" s="388">
        <f>greenbthpremcuppts</f>
        <v>10</v>
      </c>
      <c r="G22" s="379" t="s">
        <v>908</v>
      </c>
      <c r="H22" s="376" t="s">
        <v>80</v>
      </c>
      <c r="I22" s="400">
        <f>Byrneglopremcupgls</f>
        <v>3</v>
      </c>
      <c r="J22" s="436">
        <f>Byrneglopremcupatt</f>
        <v>4</v>
      </c>
      <c r="K22" s="402">
        <f t="shared" si="0"/>
        <v>75</v>
      </c>
    </row>
    <row r="23" spans="1:11" ht="14.95" customHeight="1" thickBot="1" x14ac:dyDescent="0.3">
      <c r="A23" s="373" t="s">
        <v>679</v>
      </c>
      <c r="B23" s="380" t="s">
        <v>544</v>
      </c>
      <c r="C23" s="385">
        <f>pearsonleipremcuptries</f>
        <v>2</v>
      </c>
      <c r="D23" s="390" t="s">
        <v>1051</v>
      </c>
      <c r="E23" s="390" t="s">
        <v>82</v>
      </c>
      <c r="F23" s="391">
        <f>griffincbthpremcuppts</f>
        <v>10</v>
      </c>
      <c r="G23" s="376" t="s">
        <v>848</v>
      </c>
      <c r="H23" s="376" t="s">
        <v>90</v>
      </c>
      <c r="I23" s="400">
        <f>Haydon_Wexepremcupgls</f>
        <v>3</v>
      </c>
      <c r="J23" s="436">
        <f>Haydon_Wexepremcupatt</f>
        <v>4</v>
      </c>
      <c r="K23" s="402">
        <f t="shared" si="0"/>
        <v>75</v>
      </c>
    </row>
    <row r="24" spans="1:11" ht="14.95" customHeight="1" thickBot="1" x14ac:dyDescent="0.3">
      <c r="A24" s="373" t="s">
        <v>436</v>
      </c>
      <c r="B24" s="374" t="s">
        <v>83</v>
      </c>
      <c r="C24" s="385">
        <f>rammnorpremcuptries</f>
        <v>2</v>
      </c>
      <c r="D24" s="390" t="s">
        <v>645</v>
      </c>
      <c r="E24" s="390" t="s">
        <v>92</v>
      </c>
      <c r="F24" s="388">
        <f>gwilliambripremcuppts</f>
        <v>10</v>
      </c>
      <c r="G24" s="376" t="s">
        <v>1049</v>
      </c>
      <c r="H24" s="376" t="s">
        <v>92</v>
      </c>
      <c r="I24" s="400">
        <f>Westonbripremcupgls</f>
        <v>2</v>
      </c>
      <c r="J24" s="436">
        <f>Westonbripremcupatt</f>
        <v>3</v>
      </c>
      <c r="K24" s="402">
        <f t="shared" si="0"/>
        <v>66.666666666666657</v>
      </c>
    </row>
    <row r="25" spans="1:11" ht="14.95" customHeight="1" thickBot="1" x14ac:dyDescent="0.3">
      <c r="A25" s="373" t="s">
        <v>335</v>
      </c>
      <c r="B25" s="374" t="s">
        <v>322</v>
      </c>
      <c r="C25" s="385">
        <f>segunsarpremcuptries</f>
        <v>2</v>
      </c>
      <c r="D25" s="390" t="s">
        <v>1061</v>
      </c>
      <c r="E25" s="390" t="s">
        <v>80</v>
      </c>
      <c r="F25" s="388">
        <f>jamesglopremcuppts</f>
        <v>10</v>
      </c>
      <c r="G25" s="379" t="s">
        <v>1049</v>
      </c>
      <c r="H25" s="376" t="s">
        <v>92</v>
      </c>
      <c r="I25" s="400">
        <f>Westonbripremcupgls</f>
        <v>2</v>
      </c>
      <c r="J25" s="436">
        <f>Westonbripremcupatt</f>
        <v>3</v>
      </c>
      <c r="K25" s="401">
        <f t="shared" si="0"/>
        <v>66.666666666666657</v>
      </c>
    </row>
    <row r="26" spans="1:11" ht="14.95" customHeight="1" thickBot="1" x14ac:dyDescent="0.3">
      <c r="A26" s="373" t="s">
        <v>607</v>
      </c>
      <c r="B26" s="374" t="s">
        <v>82</v>
      </c>
      <c r="C26" s="385">
        <f>tuipulotubthpremcuptries</f>
        <v>2</v>
      </c>
      <c r="D26" s="390" t="s">
        <v>937</v>
      </c>
      <c r="E26" s="390" t="s">
        <v>80</v>
      </c>
      <c r="F26" s="388">
        <f>knightwglopts</f>
        <v>10</v>
      </c>
      <c r="G26" s="376" t="s">
        <v>114</v>
      </c>
      <c r="H26" s="376" t="s">
        <v>83</v>
      </c>
      <c r="I26" s="400">
        <f>Furbanknorpremcupgls</f>
        <v>1</v>
      </c>
      <c r="J26" s="436">
        <f>furbanknorpremcupatt</f>
        <v>2</v>
      </c>
      <c r="K26" s="402">
        <f t="shared" si="0"/>
        <v>50</v>
      </c>
    </row>
    <row r="27" spans="1:11" ht="14.95" customHeight="1" thickBot="1" x14ac:dyDescent="0.3">
      <c r="A27" s="377" t="s">
        <v>389</v>
      </c>
      <c r="B27" s="378" t="s">
        <v>89</v>
      </c>
      <c r="C27" s="386">
        <f>walkerharpremcuptries</f>
        <v>2</v>
      </c>
      <c r="D27" s="390" t="s">
        <v>777</v>
      </c>
      <c r="E27" s="390" t="s">
        <v>322</v>
      </c>
      <c r="F27" s="388">
        <f>michelowsarpremcuppts</f>
        <v>10</v>
      </c>
      <c r="G27" s="376" t="s">
        <v>900</v>
      </c>
      <c r="H27" s="376" t="s">
        <v>544</v>
      </c>
      <c r="I27" s="400">
        <f>Woodwardleipremcupgls</f>
        <v>1</v>
      </c>
      <c r="J27" s="436">
        <f>Woodwardleipremcupatt</f>
        <v>2</v>
      </c>
      <c r="K27" s="402">
        <f t="shared" si="0"/>
        <v>50</v>
      </c>
    </row>
    <row r="28" spans="1:11" ht="14.95" customHeight="1" thickBot="1" x14ac:dyDescent="0.3">
      <c r="A28" s="373" t="s">
        <v>678</v>
      </c>
      <c r="B28" s="380" t="s">
        <v>544</v>
      </c>
      <c r="C28" s="385">
        <f>wandleipremcuptries</f>
        <v>2</v>
      </c>
      <c r="D28" s="390" t="s">
        <v>983</v>
      </c>
      <c r="E28" s="390" t="s">
        <v>544</v>
      </c>
      <c r="F28" s="388">
        <f>moroleipremcuppts</f>
        <v>10</v>
      </c>
      <c r="G28" s="376" t="s">
        <v>360</v>
      </c>
      <c r="H28" s="376" t="s">
        <v>89</v>
      </c>
      <c r="I28" s="400">
        <f>Bensonharpremcupgls</f>
        <v>1</v>
      </c>
      <c r="J28" s="436">
        <f>Bensonharpremcupatt</f>
        <v>3</v>
      </c>
      <c r="K28" s="402">
        <f t="shared" si="0"/>
        <v>33.333333333333329</v>
      </c>
    </row>
    <row r="29" spans="1:11" ht="14.95" customHeight="1" thickBot="1" x14ac:dyDescent="0.3">
      <c r="A29" s="373" t="s">
        <v>1080</v>
      </c>
      <c r="B29" s="374" t="s">
        <v>322</v>
      </c>
      <c r="C29" s="385">
        <f>adegbemilesarpremcuptries</f>
        <v>1</v>
      </c>
      <c r="D29" s="390" t="s">
        <v>128</v>
      </c>
      <c r="E29" s="390" t="s">
        <v>81</v>
      </c>
      <c r="F29" s="388">
        <f>oflahertysalpremcuppts</f>
        <v>10</v>
      </c>
      <c r="G29" s="379" t="s">
        <v>525</v>
      </c>
      <c r="H29" s="376" t="s">
        <v>89</v>
      </c>
      <c r="I29" s="400">
        <f>Evans_Jharpremcupgls</f>
        <v>1</v>
      </c>
      <c r="J29" s="436">
        <f>Evans_Jharpremcupatt</f>
        <v>3</v>
      </c>
      <c r="K29" s="402">
        <f t="shared" si="0"/>
        <v>33.333333333333329</v>
      </c>
    </row>
    <row r="30" spans="1:11" ht="14.95" customHeight="1" thickBot="1" x14ac:dyDescent="0.3">
      <c r="A30" s="373" t="s">
        <v>682</v>
      </c>
      <c r="B30" s="380" t="s">
        <v>544</v>
      </c>
      <c r="C30" s="385">
        <f>allanleipremcuptries</f>
        <v>1</v>
      </c>
      <c r="D30" s="390" t="s">
        <v>548</v>
      </c>
      <c r="E30" s="390" t="s">
        <v>92</v>
      </c>
      <c r="F30" s="388">
        <f>oghrebripremcuppts</f>
        <v>10</v>
      </c>
      <c r="G30" s="376" t="s">
        <v>154</v>
      </c>
      <c r="H30" s="376" t="s">
        <v>90</v>
      </c>
      <c r="I30" s="400">
        <f>Skinnerexepremcupgls</f>
        <v>0</v>
      </c>
      <c r="J30" s="436">
        <f>Skinnerexepremcupatt</f>
        <v>3</v>
      </c>
      <c r="K30" s="401">
        <f t="shared" si="0"/>
        <v>0</v>
      </c>
    </row>
    <row r="31" spans="1:11" ht="14.95" customHeight="1" thickBot="1" x14ac:dyDescent="0.3">
      <c r="A31" s="373" t="s">
        <v>1050</v>
      </c>
      <c r="B31" s="374" t="s">
        <v>92</v>
      </c>
      <c r="C31" s="385">
        <f>bevanbripremcuptries</f>
        <v>1</v>
      </c>
      <c r="D31" s="390" t="s">
        <v>679</v>
      </c>
      <c r="E31" s="390" t="s">
        <v>544</v>
      </c>
      <c r="F31" s="388">
        <f>pearsonleipremcuppts</f>
        <v>10</v>
      </c>
      <c r="G31" s="384" t="s">
        <v>1086</v>
      </c>
    </row>
    <row r="32" spans="1:11" ht="14.95" customHeight="1" thickBot="1" x14ac:dyDescent="0.3">
      <c r="A32" s="373" t="s">
        <v>895</v>
      </c>
      <c r="B32" s="374" t="s">
        <v>322</v>
      </c>
      <c r="C32" s="385">
        <f>brackencsarpremcuptries</f>
        <v>1</v>
      </c>
      <c r="D32" s="390" t="s">
        <v>436</v>
      </c>
      <c r="E32" s="390" t="s">
        <v>83</v>
      </c>
      <c r="F32" s="388">
        <f>rammnorpremcuppts</f>
        <v>10</v>
      </c>
    </row>
    <row r="33" spans="1:6" ht="14.95" customHeight="1" thickBot="1" x14ac:dyDescent="0.3">
      <c r="A33" s="373" t="s">
        <v>431</v>
      </c>
      <c r="B33" s="374" t="s">
        <v>89</v>
      </c>
      <c r="C33" s="385">
        <f>bradleyharpremcuptries</f>
        <v>1</v>
      </c>
      <c r="D33" s="390" t="s">
        <v>335</v>
      </c>
      <c r="E33" s="390" t="s">
        <v>322</v>
      </c>
      <c r="F33" s="388">
        <f>segunsarpremcuppts</f>
        <v>10</v>
      </c>
    </row>
    <row r="34" spans="1:6" ht="14.95" customHeight="1" thickBot="1" x14ac:dyDescent="0.3">
      <c r="A34" s="373" t="s">
        <v>825</v>
      </c>
      <c r="B34" s="374" t="s">
        <v>83</v>
      </c>
      <c r="C34" s="385">
        <f>brownnorpremcuptries</f>
        <v>1</v>
      </c>
      <c r="D34" s="390" t="s">
        <v>607</v>
      </c>
      <c r="E34" s="390" t="s">
        <v>82</v>
      </c>
      <c r="F34" s="388">
        <f>tuipulotubthpremcuppts</f>
        <v>10</v>
      </c>
    </row>
    <row r="35" spans="1:6" ht="14.95" customHeight="1" thickBot="1" x14ac:dyDescent="0.3">
      <c r="A35" s="373" t="s">
        <v>526</v>
      </c>
      <c r="B35" s="374" t="s">
        <v>81</v>
      </c>
      <c r="C35" s="385">
        <f>cainesalpremcuptries</f>
        <v>1</v>
      </c>
      <c r="D35" s="390" t="s">
        <v>389</v>
      </c>
      <c r="E35" s="390" t="s">
        <v>89</v>
      </c>
      <c r="F35" s="388">
        <f>walkerharpremcuppts</f>
        <v>10</v>
      </c>
    </row>
    <row r="36" spans="1:6" ht="14.95" customHeight="1" thickBot="1" x14ac:dyDescent="0.3">
      <c r="A36" s="373" t="s">
        <v>1070</v>
      </c>
      <c r="B36" s="374" t="s">
        <v>83</v>
      </c>
      <c r="C36" s="386">
        <f>caqusaunorpremcuptries</f>
        <v>1</v>
      </c>
      <c r="D36" s="390" t="s">
        <v>678</v>
      </c>
      <c r="E36" s="390" t="s">
        <v>544</v>
      </c>
      <c r="F36" s="388">
        <f>wandleipremcuppts</f>
        <v>10</v>
      </c>
    </row>
    <row r="37" spans="1:6" ht="14.95" customHeight="1" thickBot="1" x14ac:dyDescent="0.3">
      <c r="A37" s="373" t="s">
        <v>935</v>
      </c>
      <c r="B37" s="374" t="s">
        <v>92</v>
      </c>
      <c r="C37" s="385">
        <f>carringtonbripremcuptries</f>
        <v>1</v>
      </c>
      <c r="D37" s="390" t="s">
        <v>157</v>
      </c>
      <c r="E37" s="390" t="s">
        <v>81</v>
      </c>
      <c r="F37" s="388">
        <f>dupreezralpremcuppts</f>
        <v>9</v>
      </c>
    </row>
    <row r="38" spans="1:6" ht="14.95" customHeight="1" thickBot="1" x14ac:dyDescent="0.3">
      <c r="A38" s="373" t="s">
        <v>940</v>
      </c>
      <c r="B38" s="374" t="s">
        <v>80</v>
      </c>
      <c r="C38" s="385">
        <f>cavenglopremcuptries</f>
        <v>1</v>
      </c>
      <c r="D38" s="390" t="s">
        <v>987</v>
      </c>
      <c r="E38" s="390" t="s">
        <v>544</v>
      </c>
      <c r="F38" s="388">
        <f>searleleipremcuppts</f>
        <v>9</v>
      </c>
    </row>
    <row r="39" spans="1:6" ht="14.95" customHeight="1" thickBot="1" x14ac:dyDescent="0.3">
      <c r="A39" s="373" t="s">
        <v>265</v>
      </c>
      <c r="B39" s="380" t="s">
        <v>544</v>
      </c>
      <c r="C39" s="385">
        <f>clareleipremcuptries</f>
        <v>1</v>
      </c>
      <c r="D39" s="390" t="s">
        <v>135</v>
      </c>
      <c r="E39" s="390" t="s">
        <v>90</v>
      </c>
      <c r="F39" s="388">
        <f>sladeexepremcuppts</f>
        <v>8</v>
      </c>
    </row>
    <row r="40" spans="1:6" ht="14.95" customHeight="1" thickBot="1" x14ac:dyDescent="0.3">
      <c r="A40" s="373" t="s">
        <v>1074</v>
      </c>
      <c r="B40" s="380" t="s">
        <v>322</v>
      </c>
      <c r="C40" s="385">
        <f>Clarkesarpremcuptries</f>
        <v>1</v>
      </c>
      <c r="D40" s="390" t="s">
        <v>432</v>
      </c>
      <c r="E40" s="390" t="s">
        <v>89</v>
      </c>
      <c r="F40" s="388">
        <f>slevinharpremcuppts</f>
        <v>8</v>
      </c>
    </row>
    <row r="41" spans="1:6" ht="14.95" customHeight="1" thickBot="1" x14ac:dyDescent="0.3">
      <c r="A41" s="377" t="s">
        <v>402</v>
      </c>
      <c r="B41" s="378" t="s">
        <v>89</v>
      </c>
      <c r="C41" s="385">
        <f>cleavesharpremcuptries</f>
        <v>1</v>
      </c>
      <c r="D41" s="390" t="s">
        <v>848</v>
      </c>
      <c r="E41" s="390" t="s">
        <v>90</v>
      </c>
      <c r="F41" s="388">
        <f>haydonwoodexepremcuppts</f>
        <v>7</v>
      </c>
    </row>
    <row r="42" spans="1:6" ht="14.95" customHeight="1" thickBot="1" x14ac:dyDescent="0.3">
      <c r="A42" s="373" t="s">
        <v>884</v>
      </c>
      <c r="B42" s="374" t="s">
        <v>80</v>
      </c>
      <c r="C42" s="385">
        <f>cotgreaveglopremcuptries</f>
        <v>1</v>
      </c>
      <c r="D42" s="390" t="s">
        <v>1055</v>
      </c>
      <c r="E42" s="390" t="s">
        <v>83</v>
      </c>
      <c r="F42" s="388">
        <f>paternorpremcuppts</f>
        <v>7</v>
      </c>
    </row>
    <row r="43" spans="1:6" ht="14.95" customHeight="1" thickBot="1" x14ac:dyDescent="0.3">
      <c r="A43" s="373" t="s">
        <v>863</v>
      </c>
      <c r="B43" s="374" t="s">
        <v>82</v>
      </c>
      <c r="C43" s="385">
        <f>cowanbthpremcuptries</f>
        <v>1</v>
      </c>
      <c r="D43" s="390" t="s">
        <v>924</v>
      </c>
      <c r="E43" s="390" t="s">
        <v>544</v>
      </c>
      <c r="F43" s="388">
        <f>titcombeleipremcuppts</f>
        <v>7</v>
      </c>
    </row>
    <row r="44" spans="1:6" ht="14.95" customHeight="1" thickBot="1" x14ac:dyDescent="0.3">
      <c r="A44" s="373" t="s">
        <v>992</v>
      </c>
      <c r="B44" s="380" t="s">
        <v>544</v>
      </c>
      <c r="C44" s="385">
        <f>crowleyleipremcuptries</f>
        <v>1</v>
      </c>
      <c r="D44" s="390" t="s">
        <v>908</v>
      </c>
      <c r="E44" s="390" t="s">
        <v>80</v>
      </c>
      <c r="F44" s="388">
        <f>byrneglopremcuppts</f>
        <v>6</v>
      </c>
    </row>
    <row r="45" spans="1:6" ht="14.95" customHeight="1" thickBot="1" x14ac:dyDescent="0.3">
      <c r="A45" s="373" t="s">
        <v>1078</v>
      </c>
      <c r="B45" s="374" t="s">
        <v>322</v>
      </c>
      <c r="C45" s="385">
        <f>Davidsonsarpremcuptries</f>
        <v>1</v>
      </c>
      <c r="D45" s="390" t="s">
        <v>1004</v>
      </c>
      <c r="E45" s="390" t="s">
        <v>82</v>
      </c>
      <c r="F45" s="388">
        <f>linegarbthpremcuppts</f>
        <v>6</v>
      </c>
    </row>
    <row r="46" spans="1:6" ht="14.95" customHeight="1" thickBot="1" x14ac:dyDescent="0.3">
      <c r="A46" s="373" t="s">
        <v>854</v>
      </c>
      <c r="B46" s="374" t="s">
        <v>81</v>
      </c>
      <c r="C46" s="385">
        <f>daviessalpremcuptries</f>
        <v>1</v>
      </c>
      <c r="D46" s="390" t="s">
        <v>1080</v>
      </c>
      <c r="E46" s="390" t="s">
        <v>322</v>
      </c>
      <c r="F46" s="388">
        <f>adegbemilesarpremcuppts</f>
        <v>5</v>
      </c>
    </row>
    <row r="47" spans="1:6" ht="14.95" customHeight="1" thickBot="1" x14ac:dyDescent="0.3">
      <c r="A47" s="373" t="s">
        <v>950</v>
      </c>
      <c r="B47" s="374" t="s">
        <v>80</v>
      </c>
      <c r="C47" s="385">
        <f>daviesglopremcuptries</f>
        <v>1</v>
      </c>
      <c r="D47" s="390" t="s">
        <v>682</v>
      </c>
      <c r="E47" s="390" t="s">
        <v>544</v>
      </c>
      <c r="F47" s="391">
        <f>allanleipremcuppts</f>
        <v>5</v>
      </c>
    </row>
    <row r="48" spans="1:6" ht="14.95" customHeight="1" thickBot="1" x14ac:dyDescent="0.3">
      <c r="A48" s="373" t="s">
        <v>211</v>
      </c>
      <c r="B48" s="374" t="s">
        <v>82</v>
      </c>
      <c r="C48" s="385">
        <f>deglanvillebthpremcuptries</f>
        <v>1</v>
      </c>
      <c r="D48" s="390" t="s">
        <v>293</v>
      </c>
      <c r="E48" s="390" t="s">
        <v>544</v>
      </c>
      <c r="F48" s="388">
        <f>baileyleipremcuppts</f>
        <v>5</v>
      </c>
    </row>
    <row r="49" spans="1:6" ht="14.95" customHeight="1" thickBot="1" x14ac:dyDescent="0.3">
      <c r="A49" s="373" t="s">
        <v>1007</v>
      </c>
      <c r="B49" s="374" t="s">
        <v>90</v>
      </c>
      <c r="C49" s="385">
        <f>dwebaexepremcuptries</f>
        <v>1</v>
      </c>
      <c r="D49" s="390" t="s">
        <v>1050</v>
      </c>
      <c r="E49" s="390" t="s">
        <v>92</v>
      </c>
      <c r="F49" s="388">
        <f>bevanbripremcuppts</f>
        <v>5</v>
      </c>
    </row>
    <row r="50" spans="1:6" ht="14.95" customHeight="1" thickBot="1" x14ac:dyDescent="0.3">
      <c r="A50" s="373" t="s">
        <v>909</v>
      </c>
      <c r="B50" s="374" t="s">
        <v>80</v>
      </c>
      <c r="C50" s="385">
        <f>edwardsgiraudglopremcuptries</f>
        <v>1</v>
      </c>
      <c r="D50" s="390" t="s">
        <v>895</v>
      </c>
      <c r="E50" s="390" t="s">
        <v>322</v>
      </c>
      <c r="F50" s="388">
        <f>brackencsarpremcuppts</f>
        <v>5</v>
      </c>
    </row>
    <row r="51" spans="1:6" ht="14.95" customHeight="1" thickBot="1" x14ac:dyDescent="0.3">
      <c r="A51" s="381" t="s">
        <v>242</v>
      </c>
      <c r="B51" s="380" t="s">
        <v>89</v>
      </c>
      <c r="C51" s="385">
        <f>Elsharpremcuptries</f>
        <v>1</v>
      </c>
      <c r="D51" s="390" t="s">
        <v>431</v>
      </c>
      <c r="E51" s="390" t="s">
        <v>89</v>
      </c>
      <c r="F51" s="388">
        <f>bradleyharpremcuppts</f>
        <v>5</v>
      </c>
    </row>
    <row r="52" spans="1:6" ht="14.95" customHeight="1" thickBot="1" x14ac:dyDescent="0.3">
      <c r="A52" s="373" t="s">
        <v>805</v>
      </c>
      <c r="B52" s="374" t="s">
        <v>82</v>
      </c>
      <c r="C52" s="385">
        <f>emensbthpremcuptries</f>
        <v>1</v>
      </c>
      <c r="D52" s="390" t="s">
        <v>825</v>
      </c>
      <c r="E52" s="390" t="s">
        <v>83</v>
      </c>
      <c r="F52" s="388">
        <f>brownnorpremcuppts</f>
        <v>5</v>
      </c>
    </row>
    <row r="53" spans="1:6" ht="14.95" customHeight="1" thickBot="1" x14ac:dyDescent="0.3">
      <c r="A53" s="373" t="s">
        <v>474</v>
      </c>
      <c r="B53" s="374" t="s">
        <v>917</v>
      </c>
      <c r="C53" s="385">
        <f>fletchernrbpremcuptries</f>
        <v>1</v>
      </c>
      <c r="D53" s="390" t="s">
        <v>526</v>
      </c>
      <c r="E53" s="390" t="s">
        <v>81</v>
      </c>
      <c r="F53" s="388">
        <f>cainesalpremcuppts</f>
        <v>5</v>
      </c>
    </row>
    <row r="54" spans="1:6" ht="14.95" customHeight="1" thickBot="1" x14ac:dyDescent="0.3">
      <c r="A54" s="373" t="s">
        <v>1064</v>
      </c>
      <c r="B54" s="374" t="s">
        <v>80</v>
      </c>
      <c r="C54" s="385">
        <f>freemanpriceglopremcuptries</f>
        <v>1</v>
      </c>
      <c r="D54" s="390" t="s">
        <v>1070</v>
      </c>
      <c r="E54" s="390" t="s">
        <v>83</v>
      </c>
      <c r="F54" s="388">
        <f>caqusaunorpremcuppts</f>
        <v>5</v>
      </c>
    </row>
    <row r="55" spans="1:6" ht="14.95" customHeight="1" thickBot="1" x14ac:dyDescent="0.3">
      <c r="A55" s="373" t="s">
        <v>352</v>
      </c>
      <c r="B55" s="374" t="s">
        <v>82</v>
      </c>
      <c r="C55" s="385">
        <f>frostbthpremcuptries</f>
        <v>1</v>
      </c>
      <c r="D55" s="390" t="s">
        <v>935</v>
      </c>
      <c r="E55" s="390" t="s">
        <v>92</v>
      </c>
      <c r="F55" s="388">
        <f>carringtonbripremcuppts</f>
        <v>5</v>
      </c>
    </row>
    <row r="56" spans="1:6" ht="14.95" customHeight="1" thickBot="1" x14ac:dyDescent="0.3">
      <c r="A56" s="373" t="s">
        <v>434</v>
      </c>
      <c r="B56" s="374" t="s">
        <v>83</v>
      </c>
      <c r="C56" s="385">
        <f>grahamnorpremcuptries</f>
        <v>1</v>
      </c>
      <c r="D56" s="390" t="s">
        <v>940</v>
      </c>
      <c r="E56" s="390" t="s">
        <v>80</v>
      </c>
      <c r="F56" s="388">
        <f>cavenglopremcuppts</f>
        <v>5</v>
      </c>
    </row>
    <row r="57" spans="1:6" ht="14.95" customHeight="1" thickBot="1" x14ac:dyDescent="0.3">
      <c r="A57" s="373" t="s">
        <v>622</v>
      </c>
      <c r="B57" s="374" t="s">
        <v>92</v>
      </c>
      <c r="C57" s="385">
        <f>grahamslawbripremcuptries</f>
        <v>1</v>
      </c>
      <c r="D57" s="390" t="s">
        <v>265</v>
      </c>
      <c r="E57" s="390" t="s">
        <v>544</v>
      </c>
      <c r="F57" s="388">
        <f>clareleipremcuppts</f>
        <v>5</v>
      </c>
    </row>
    <row r="58" spans="1:6" ht="14.95" customHeight="1" thickBot="1" x14ac:dyDescent="0.3">
      <c r="A58" s="373" t="s">
        <v>1084</v>
      </c>
      <c r="B58" s="374" t="s">
        <v>90</v>
      </c>
      <c r="C58" s="385">
        <f>gulleyexepremcuptries</f>
        <v>1</v>
      </c>
      <c r="D58" s="390" t="s">
        <v>1074</v>
      </c>
      <c r="E58" s="390" t="s">
        <v>322</v>
      </c>
      <c r="F58" s="388">
        <f>Clarkesarpremcuppts</f>
        <v>5</v>
      </c>
    </row>
    <row r="59" spans="1:6" ht="14.95" customHeight="1" thickBot="1" x14ac:dyDescent="0.3">
      <c r="A59" s="373" t="s">
        <v>828</v>
      </c>
      <c r="B59" s="374" t="s">
        <v>322</v>
      </c>
      <c r="C59" s="385">
        <f>hallsarpremcuptries</f>
        <v>1</v>
      </c>
      <c r="D59" s="445" t="s">
        <v>402</v>
      </c>
      <c r="E59" s="445" t="s">
        <v>89</v>
      </c>
      <c r="F59" s="388">
        <f>cleavesharpremcuppts</f>
        <v>5</v>
      </c>
    </row>
    <row r="60" spans="1:6" ht="14.95" customHeight="1" thickBot="1" x14ac:dyDescent="0.3">
      <c r="A60" s="373" t="s">
        <v>932</v>
      </c>
      <c r="B60" s="374" t="s">
        <v>81</v>
      </c>
      <c r="C60" s="385">
        <f>hansonsalpremcuptries</f>
        <v>1</v>
      </c>
      <c r="D60" s="390" t="s">
        <v>884</v>
      </c>
      <c r="E60" s="390" t="s">
        <v>80</v>
      </c>
      <c r="F60" s="388">
        <f>cotgreaveglopremcuppts</f>
        <v>5</v>
      </c>
    </row>
    <row r="61" spans="1:6" ht="14.95" customHeight="1" thickBot="1" x14ac:dyDescent="0.3">
      <c r="A61" s="381" t="s">
        <v>400</v>
      </c>
      <c r="B61" s="380" t="s">
        <v>81</v>
      </c>
      <c r="C61" s="385">
        <f>harpersalpremcuptries</f>
        <v>1</v>
      </c>
      <c r="D61" s="390" t="s">
        <v>863</v>
      </c>
      <c r="E61" s="390" t="s">
        <v>82</v>
      </c>
      <c r="F61" s="388">
        <f>cowanbthpremcuppts</f>
        <v>5</v>
      </c>
    </row>
    <row r="62" spans="1:6" ht="14.95" customHeight="1" thickBot="1" x14ac:dyDescent="0.3">
      <c r="A62" s="373" t="s">
        <v>446</v>
      </c>
      <c r="B62" s="374" t="s">
        <v>322</v>
      </c>
      <c r="C62" s="385">
        <f>hartleysarpremcuptries</f>
        <v>1</v>
      </c>
      <c r="D62" s="390" t="s">
        <v>992</v>
      </c>
      <c r="E62" s="390" t="s">
        <v>544</v>
      </c>
      <c r="F62" s="388">
        <f>crowleyleipremcuppts</f>
        <v>5</v>
      </c>
    </row>
    <row r="63" spans="1:6" ht="14.95" customHeight="1" thickBot="1" x14ac:dyDescent="0.3">
      <c r="A63" s="373" t="s">
        <v>600</v>
      </c>
      <c r="B63" s="374" t="s">
        <v>80</v>
      </c>
      <c r="C63" s="385">
        <f>hathawayglopremcuptries</f>
        <v>1</v>
      </c>
      <c r="D63" s="390" t="s">
        <v>1078</v>
      </c>
      <c r="E63" s="390" t="s">
        <v>322</v>
      </c>
      <c r="F63" s="388">
        <f>Davidsonsarpremcuppts</f>
        <v>5</v>
      </c>
    </row>
    <row r="64" spans="1:6" ht="14.95" customHeight="1" thickBot="1" x14ac:dyDescent="0.3">
      <c r="A64" s="373" t="s">
        <v>715</v>
      </c>
      <c r="B64" s="374" t="s">
        <v>917</v>
      </c>
      <c r="C64" s="385">
        <f>hearlenrbpremcuptries</f>
        <v>1</v>
      </c>
      <c r="D64" s="390" t="s">
        <v>854</v>
      </c>
      <c r="E64" s="390" t="s">
        <v>81</v>
      </c>
      <c r="F64" s="388">
        <f>daviessalpremcuppts</f>
        <v>5</v>
      </c>
    </row>
    <row r="65" spans="1:6" ht="14.95" customHeight="1" thickBot="1" x14ac:dyDescent="0.3">
      <c r="A65" s="373" t="s">
        <v>832</v>
      </c>
      <c r="B65" s="374" t="s">
        <v>82</v>
      </c>
      <c r="C65" s="385">
        <f>hennesseybthpremcuptries</f>
        <v>1</v>
      </c>
      <c r="D65" s="390" t="s">
        <v>950</v>
      </c>
      <c r="E65" s="390" t="s">
        <v>80</v>
      </c>
      <c r="F65" s="388">
        <f>daviesglopremcuppts</f>
        <v>5</v>
      </c>
    </row>
    <row r="66" spans="1:6" ht="14.95" customHeight="1" thickBot="1" x14ac:dyDescent="0.3">
      <c r="A66" s="373" t="s">
        <v>1069</v>
      </c>
      <c r="B66" s="374" t="s">
        <v>917</v>
      </c>
      <c r="C66" s="385">
        <f>Hutchisonnrbpremcuptries</f>
        <v>1</v>
      </c>
      <c r="D66" s="390" t="s">
        <v>1007</v>
      </c>
      <c r="E66" s="390" t="s">
        <v>90</v>
      </c>
      <c r="F66" s="388">
        <f>dwebaexepremcuppts</f>
        <v>5</v>
      </c>
    </row>
    <row r="67" spans="1:6" ht="14.95" customHeight="1" thickBot="1" x14ac:dyDescent="0.3">
      <c r="A67" s="373" t="s">
        <v>807</v>
      </c>
      <c r="B67" s="374" t="s">
        <v>89</v>
      </c>
      <c r="C67" s="385">
        <f>hydeharpremcuptries</f>
        <v>1</v>
      </c>
      <c r="D67" s="390" t="s">
        <v>909</v>
      </c>
      <c r="E67" s="390" t="s">
        <v>80</v>
      </c>
      <c r="F67" s="388">
        <f>edwardsgiraudglopremcuppts</f>
        <v>5</v>
      </c>
    </row>
    <row r="68" spans="1:6" ht="14.95" customHeight="1" thickBot="1" x14ac:dyDescent="0.3">
      <c r="A68" s="373" t="s">
        <v>422</v>
      </c>
      <c r="B68" s="380" t="s">
        <v>544</v>
      </c>
      <c r="C68" s="385">
        <f>ilioneleipremcuptries</f>
        <v>1</v>
      </c>
      <c r="D68" s="392" t="s">
        <v>242</v>
      </c>
      <c r="E68" s="392" t="s">
        <v>89</v>
      </c>
      <c r="F68" s="388">
        <f>Elsharpremcuppts</f>
        <v>5</v>
      </c>
    </row>
    <row r="69" spans="1:6" ht="14.95" customHeight="1" thickBot="1" x14ac:dyDescent="0.3">
      <c r="A69" s="373" t="s">
        <v>118</v>
      </c>
      <c r="B69" s="374" t="s">
        <v>80</v>
      </c>
      <c r="C69" s="385">
        <f>innardglopremcuptries</f>
        <v>1</v>
      </c>
      <c r="D69" s="390" t="s">
        <v>805</v>
      </c>
      <c r="E69" s="390" t="s">
        <v>82</v>
      </c>
      <c r="F69" s="388">
        <f>emensbthpremcuppts</f>
        <v>5</v>
      </c>
    </row>
    <row r="70" spans="1:6" ht="14.95" customHeight="1" thickBot="1" x14ac:dyDescent="0.3">
      <c r="A70" s="373" t="s">
        <v>475</v>
      </c>
      <c r="B70" s="374" t="s">
        <v>92</v>
      </c>
      <c r="C70" s="385">
        <f>jenkinsjbripremcuptries</f>
        <v>1</v>
      </c>
      <c r="D70" s="390" t="s">
        <v>474</v>
      </c>
      <c r="E70" s="390" t="s">
        <v>917</v>
      </c>
      <c r="F70" s="388">
        <f>fletchernrbpremcuppts</f>
        <v>5</v>
      </c>
    </row>
    <row r="71" spans="1:6" ht="14.95" customHeight="1" thickBot="1" x14ac:dyDescent="0.3">
      <c r="A71" s="373" t="s">
        <v>429</v>
      </c>
      <c r="B71" s="374" t="s">
        <v>81</v>
      </c>
      <c r="C71" s="385">
        <f>jibulusalpremcuptries</f>
        <v>1</v>
      </c>
      <c r="D71" s="392" t="s">
        <v>1064</v>
      </c>
      <c r="E71" s="390" t="s">
        <v>80</v>
      </c>
      <c r="F71" s="388">
        <f>freemanpriceglopremcuppts</f>
        <v>5</v>
      </c>
    </row>
    <row r="72" spans="1:6" ht="14.95" customHeight="1" thickBot="1" x14ac:dyDescent="0.3">
      <c r="A72" s="373" t="s">
        <v>589</v>
      </c>
      <c r="B72" s="374" t="s">
        <v>90</v>
      </c>
      <c r="C72" s="385">
        <f>johnexepremcuptries</f>
        <v>1</v>
      </c>
      <c r="D72" s="390" t="s">
        <v>352</v>
      </c>
      <c r="E72" s="390" t="s">
        <v>82</v>
      </c>
      <c r="F72" s="388">
        <f>frostbthpremcuppts</f>
        <v>5</v>
      </c>
    </row>
    <row r="73" spans="1:6" ht="14.95" customHeight="1" thickBot="1" x14ac:dyDescent="0.3">
      <c r="A73" s="373" t="s">
        <v>1075</v>
      </c>
      <c r="B73" s="380" t="s">
        <v>322</v>
      </c>
      <c r="C73" s="385">
        <f>Keylocksarpremcuptries</f>
        <v>1</v>
      </c>
      <c r="D73" s="390" t="s">
        <v>114</v>
      </c>
      <c r="E73" s="390" t="s">
        <v>83</v>
      </c>
      <c r="F73" s="388">
        <f>furbanknorpremcuppts</f>
        <v>5</v>
      </c>
    </row>
    <row r="74" spans="1:6" ht="14.95" customHeight="1" thickBot="1" x14ac:dyDescent="0.3">
      <c r="A74" s="373" t="s">
        <v>819</v>
      </c>
      <c r="B74" s="374" t="s">
        <v>80</v>
      </c>
      <c r="C74" s="385">
        <f>knightmglopremcuptries</f>
        <v>1</v>
      </c>
      <c r="D74" s="390" t="s">
        <v>434</v>
      </c>
      <c r="E74" s="390" t="s">
        <v>83</v>
      </c>
      <c r="F74" s="388">
        <f>grahamnorpremcuppts</f>
        <v>5</v>
      </c>
    </row>
    <row r="75" spans="1:6" ht="14.95" customHeight="1" thickBot="1" x14ac:dyDescent="0.3">
      <c r="A75" s="377" t="s">
        <v>580</v>
      </c>
      <c r="B75" s="378" t="s">
        <v>80</v>
      </c>
      <c r="C75" s="385">
        <f>llewellynglopremcuptries</f>
        <v>1</v>
      </c>
      <c r="D75" s="390" t="s">
        <v>622</v>
      </c>
      <c r="E75" s="390" t="s">
        <v>92</v>
      </c>
      <c r="F75" s="388">
        <f>grahamslawbripremcuppts</f>
        <v>5</v>
      </c>
    </row>
    <row r="76" spans="1:6" ht="14.95" customHeight="1" thickBot="1" x14ac:dyDescent="0.3">
      <c r="A76" s="373" t="s">
        <v>492</v>
      </c>
      <c r="B76" s="374" t="s">
        <v>917</v>
      </c>
      <c r="C76" s="385">
        <f>lockwoodnrbpremcuptries</f>
        <v>1</v>
      </c>
      <c r="D76" s="390" t="s">
        <v>1084</v>
      </c>
      <c r="E76" s="390" t="s">
        <v>90</v>
      </c>
      <c r="F76" s="388">
        <f>gulleyexepremcupptscorrect</f>
        <v>5</v>
      </c>
    </row>
    <row r="77" spans="1:6" ht="14.95" customHeight="1" thickBot="1" x14ac:dyDescent="0.3">
      <c r="A77" s="373" t="s">
        <v>124</v>
      </c>
      <c r="B77" s="374" t="s">
        <v>80</v>
      </c>
      <c r="C77" s="385">
        <f>ludlowglopremcuptries</f>
        <v>1</v>
      </c>
      <c r="D77" s="390" t="s">
        <v>828</v>
      </c>
      <c r="E77" s="390" t="s">
        <v>322</v>
      </c>
      <c r="F77" s="388">
        <f>hallsarpremcuppts</f>
        <v>5</v>
      </c>
    </row>
    <row r="78" spans="1:6" ht="14.95" customHeight="1" thickBot="1" x14ac:dyDescent="0.3">
      <c r="A78" s="373" t="s">
        <v>542</v>
      </c>
      <c r="B78" s="374" t="s">
        <v>322</v>
      </c>
      <c r="C78" s="385">
        <f>malinssarpremcuptries</f>
        <v>1</v>
      </c>
      <c r="D78" s="390" t="s">
        <v>932</v>
      </c>
      <c r="E78" s="390" t="s">
        <v>81</v>
      </c>
      <c r="F78" s="388">
        <f>hansonsalpremcuppts</f>
        <v>5</v>
      </c>
    </row>
    <row r="79" spans="1:6" ht="14.95" customHeight="1" thickBot="1" x14ac:dyDescent="0.3">
      <c r="A79" s="373" t="s">
        <v>567</v>
      </c>
      <c r="B79" s="374" t="s">
        <v>917</v>
      </c>
      <c r="C79" s="386">
        <f>mccallumnrbpremcuptries</f>
        <v>1</v>
      </c>
      <c r="D79" s="392" t="s">
        <v>400</v>
      </c>
      <c r="E79" s="390" t="s">
        <v>81</v>
      </c>
      <c r="F79" s="388">
        <f>harpersalpremcuppts</f>
        <v>5</v>
      </c>
    </row>
    <row r="80" spans="1:6" ht="14.95" customHeight="1" thickBot="1" x14ac:dyDescent="0.3">
      <c r="A80" s="373" t="s">
        <v>795</v>
      </c>
      <c r="B80" s="374" t="s">
        <v>81</v>
      </c>
      <c r="C80" s="385">
        <f>mcelroyalpremcuptries</f>
        <v>1</v>
      </c>
      <c r="D80" s="390" t="s">
        <v>446</v>
      </c>
      <c r="E80" s="390" t="s">
        <v>322</v>
      </c>
      <c r="F80" s="391">
        <f>hartleysarpremcuppts</f>
        <v>5</v>
      </c>
    </row>
    <row r="81" spans="1:6" ht="14.95" customHeight="1" thickBot="1" x14ac:dyDescent="0.3">
      <c r="A81" s="381" t="s">
        <v>254</v>
      </c>
      <c r="B81" s="380" t="s">
        <v>917</v>
      </c>
      <c r="C81" s="385">
        <f>mcguigannrbpremcuptries</f>
        <v>1</v>
      </c>
      <c r="D81" s="390" t="s">
        <v>600</v>
      </c>
      <c r="E81" s="390" t="s">
        <v>80</v>
      </c>
      <c r="F81" s="388">
        <f>hathawayglopremcuppts</f>
        <v>5</v>
      </c>
    </row>
    <row r="82" spans="1:6" ht="14.95" customHeight="1" thickBot="1" x14ac:dyDescent="0.3">
      <c r="A82" s="373" t="s">
        <v>433</v>
      </c>
      <c r="B82" s="374" t="s">
        <v>89</v>
      </c>
      <c r="C82" s="385">
        <f>murrayharpremcuptries</f>
        <v>1</v>
      </c>
      <c r="D82" s="390" t="s">
        <v>715</v>
      </c>
      <c r="E82" s="390" t="s">
        <v>917</v>
      </c>
      <c r="F82" s="388">
        <f>hearlenrbpremcuppts</f>
        <v>5</v>
      </c>
    </row>
    <row r="83" spans="1:6" ht="14.95" customHeight="1" thickBot="1" x14ac:dyDescent="0.3">
      <c r="A83" s="381" t="s">
        <v>816</v>
      </c>
      <c r="B83" s="380" t="s">
        <v>82</v>
      </c>
      <c r="C83" s="386">
        <f>offiahbthpremcuptries</f>
        <v>1</v>
      </c>
      <c r="D83" s="390" t="s">
        <v>832</v>
      </c>
      <c r="E83" s="390" t="s">
        <v>82</v>
      </c>
      <c r="F83" s="388">
        <f>hennesseybthpremcuppts</f>
        <v>5</v>
      </c>
    </row>
    <row r="84" spans="1:6" ht="14.95" customHeight="1" thickBot="1" x14ac:dyDescent="0.3">
      <c r="A84" s="373" t="s">
        <v>954</v>
      </c>
      <c r="B84" s="374" t="s">
        <v>92</v>
      </c>
      <c r="C84" s="385">
        <f>owenbripremcuptries</f>
        <v>1</v>
      </c>
      <c r="D84" s="390" t="s">
        <v>1069</v>
      </c>
      <c r="E84" s="390" t="s">
        <v>917</v>
      </c>
      <c r="F84" s="388">
        <f>Hutchisonnrbpremcuppts</f>
        <v>5</v>
      </c>
    </row>
    <row r="85" spans="1:6" ht="14.95" customHeight="1" thickBot="1" x14ac:dyDescent="0.3">
      <c r="A85" s="373" t="s">
        <v>1055</v>
      </c>
      <c r="B85" s="374" t="s">
        <v>83</v>
      </c>
      <c r="C85" s="385">
        <f>paternorpremcuptries</f>
        <v>1</v>
      </c>
      <c r="D85" s="390" t="s">
        <v>807</v>
      </c>
      <c r="E85" s="390" t="s">
        <v>89</v>
      </c>
      <c r="F85" s="388">
        <f>hydeharpremcuppts</f>
        <v>5</v>
      </c>
    </row>
    <row r="86" spans="1:6" ht="14.95" customHeight="1" thickBot="1" x14ac:dyDescent="0.3">
      <c r="A86" s="373" t="s">
        <v>641</v>
      </c>
      <c r="B86" s="374" t="s">
        <v>92</v>
      </c>
      <c r="C86" s="385">
        <f>pearcebripremcuptries</f>
        <v>1</v>
      </c>
      <c r="D86" s="390" t="s">
        <v>422</v>
      </c>
      <c r="E86" s="390" t="s">
        <v>544</v>
      </c>
      <c r="F86" s="388">
        <f>ilioneleipremcuppts</f>
        <v>5</v>
      </c>
    </row>
    <row r="87" spans="1:6" ht="14.95" customHeight="1" thickBot="1" x14ac:dyDescent="0.3">
      <c r="A87" s="373" t="s">
        <v>382</v>
      </c>
      <c r="B87" s="374" t="s">
        <v>90</v>
      </c>
      <c r="C87" s="385">
        <f>pearsonexepremcuptries</f>
        <v>1</v>
      </c>
      <c r="D87" s="390" t="s">
        <v>118</v>
      </c>
      <c r="E87" s="390" t="s">
        <v>80</v>
      </c>
      <c r="F87" s="388">
        <f>innardglopremcuptriespts</f>
        <v>5</v>
      </c>
    </row>
    <row r="88" spans="1:6" ht="14.95" customHeight="1" thickBot="1" x14ac:dyDescent="0.3">
      <c r="A88" s="373" t="s">
        <v>955</v>
      </c>
      <c r="B88" s="374" t="s">
        <v>92</v>
      </c>
      <c r="C88" s="385">
        <f>reeszammitbripremcuptries</f>
        <v>1</v>
      </c>
      <c r="D88" s="390" t="s">
        <v>475</v>
      </c>
      <c r="E88" s="390" t="s">
        <v>92</v>
      </c>
      <c r="F88" s="388">
        <f>jenkinsjbripremcuppts</f>
        <v>5</v>
      </c>
    </row>
    <row r="89" spans="1:6" ht="14.95" customHeight="1" thickBot="1" x14ac:dyDescent="0.3">
      <c r="A89" s="373" t="s">
        <v>1085</v>
      </c>
      <c r="B89" s="374" t="s">
        <v>90</v>
      </c>
      <c r="C89" s="385">
        <f>ridlexepremcuptries</f>
        <v>1</v>
      </c>
      <c r="D89" s="390" t="s">
        <v>429</v>
      </c>
      <c r="E89" s="390" t="s">
        <v>81</v>
      </c>
      <c r="F89" s="388">
        <f>jibulusalpremcuppts</f>
        <v>5</v>
      </c>
    </row>
    <row r="90" spans="1:6" ht="14.95" customHeight="1" thickBot="1" x14ac:dyDescent="0.3">
      <c r="A90" s="373" t="s">
        <v>653</v>
      </c>
      <c r="B90" s="374" t="s">
        <v>90</v>
      </c>
      <c r="C90" s="385">
        <f>riggexepremcuptries</f>
        <v>1</v>
      </c>
      <c r="D90" s="392" t="s">
        <v>589</v>
      </c>
      <c r="E90" s="392" t="s">
        <v>90</v>
      </c>
      <c r="F90" s="388">
        <f>johnexepremcuppts</f>
        <v>5</v>
      </c>
    </row>
    <row r="91" spans="1:6" ht="14.95" customHeight="1" thickBot="1" x14ac:dyDescent="0.3">
      <c r="A91" s="373" t="s">
        <v>416</v>
      </c>
      <c r="B91" s="374" t="s">
        <v>89</v>
      </c>
      <c r="C91" s="385">
        <f>rileyharpremcuptries</f>
        <v>1</v>
      </c>
      <c r="D91" s="390" t="s">
        <v>1075</v>
      </c>
      <c r="E91" s="390" t="s">
        <v>322</v>
      </c>
      <c r="F91" s="388">
        <f>Keylocksarpremcuppts</f>
        <v>5</v>
      </c>
    </row>
    <row r="92" spans="1:6" ht="14.95" customHeight="1" thickBot="1" x14ac:dyDescent="0.3">
      <c r="A92" s="373" t="s">
        <v>1059</v>
      </c>
      <c r="B92" s="374" t="s">
        <v>81</v>
      </c>
      <c r="C92" s="385">
        <f>Robertssalpremcuptries</f>
        <v>1</v>
      </c>
      <c r="D92" s="390" t="s">
        <v>819</v>
      </c>
      <c r="E92" s="390" t="s">
        <v>80</v>
      </c>
      <c r="F92" s="388">
        <f>knightmglopremcuppts</f>
        <v>5</v>
      </c>
    </row>
    <row r="93" spans="1:6" ht="14.95" customHeight="1" thickBot="1" x14ac:dyDescent="0.3">
      <c r="A93" s="373" t="s">
        <v>537</v>
      </c>
      <c r="B93" s="374" t="s">
        <v>90</v>
      </c>
      <c r="C93" s="385">
        <f>rootseexepremcuptries</f>
        <v>1</v>
      </c>
      <c r="D93" s="390" t="s">
        <v>580</v>
      </c>
      <c r="E93" s="390" t="s">
        <v>80</v>
      </c>
      <c r="F93" s="388">
        <f>llewellynglopremcuppts</f>
        <v>5</v>
      </c>
    </row>
    <row r="94" spans="1:6" ht="14.95" customHeight="1" thickBot="1" x14ac:dyDescent="0.3">
      <c r="A94" s="373" t="s">
        <v>1054</v>
      </c>
      <c r="B94" s="374" t="s">
        <v>83</v>
      </c>
      <c r="C94" s="385">
        <f>rowernorpremcuptries</f>
        <v>1</v>
      </c>
      <c r="D94" s="390" t="s">
        <v>492</v>
      </c>
      <c r="E94" s="390" t="s">
        <v>917</v>
      </c>
      <c r="F94" s="388">
        <f>lockwoodnrbpremcuppts</f>
        <v>5</v>
      </c>
    </row>
    <row r="95" spans="1:6" ht="14.95" customHeight="1" thickBot="1" x14ac:dyDescent="0.3">
      <c r="A95" s="373" t="s">
        <v>1077</v>
      </c>
      <c r="B95" s="374" t="s">
        <v>83</v>
      </c>
      <c r="C95" s="385">
        <f>scolanorpremcuptries</f>
        <v>1</v>
      </c>
      <c r="D95" s="390" t="s">
        <v>124</v>
      </c>
      <c r="E95" s="390" t="s">
        <v>80</v>
      </c>
      <c r="F95" s="388">
        <f>ludlowglopremcuppts</f>
        <v>5</v>
      </c>
    </row>
    <row r="96" spans="1:6" ht="14.95" customHeight="1" thickBot="1" x14ac:dyDescent="0.3">
      <c r="A96" s="373" t="s">
        <v>1018</v>
      </c>
      <c r="B96" s="374" t="s">
        <v>82</v>
      </c>
      <c r="C96" s="385">
        <f>selabthpremcuptries</f>
        <v>1</v>
      </c>
      <c r="D96" s="390" t="s">
        <v>542</v>
      </c>
      <c r="E96" s="390" t="s">
        <v>322</v>
      </c>
      <c r="F96" s="388">
        <f>malinssarpremcuppts</f>
        <v>5</v>
      </c>
    </row>
    <row r="97" spans="1:6" ht="14.95" customHeight="1" thickBot="1" x14ac:dyDescent="0.3">
      <c r="A97" s="373" t="s">
        <v>163</v>
      </c>
      <c r="B97" s="380" t="s">
        <v>83</v>
      </c>
      <c r="C97" s="385">
        <f>sleightholmenorpremcuptries</f>
        <v>1</v>
      </c>
      <c r="D97" s="390" t="s">
        <v>567</v>
      </c>
      <c r="E97" s="390" t="s">
        <v>917</v>
      </c>
      <c r="F97" s="388">
        <f>mccallumnrbpremcuppts</f>
        <v>5</v>
      </c>
    </row>
    <row r="98" spans="1:6" ht="14.95" customHeight="1" thickBot="1" x14ac:dyDescent="0.3">
      <c r="A98" s="373" t="s">
        <v>710</v>
      </c>
      <c r="B98" s="374" t="s">
        <v>917</v>
      </c>
      <c r="C98" s="385">
        <f>spencernrbpremcuptries</f>
        <v>1</v>
      </c>
      <c r="D98" s="390" t="s">
        <v>795</v>
      </c>
      <c r="E98" s="390" t="s">
        <v>81</v>
      </c>
      <c r="F98" s="388">
        <f>mcelroyalpremcuppts</f>
        <v>5</v>
      </c>
    </row>
    <row r="99" spans="1:6" ht="14.95" customHeight="1" thickBot="1" x14ac:dyDescent="0.3">
      <c r="A99" s="373" t="s">
        <v>757</v>
      </c>
      <c r="B99" s="374" t="s">
        <v>322</v>
      </c>
      <c r="C99" s="385">
        <f>spinksarpremcuptries</f>
        <v>1</v>
      </c>
      <c r="D99" s="390" t="s">
        <v>254</v>
      </c>
      <c r="E99" s="390" t="s">
        <v>917</v>
      </c>
      <c r="F99" s="388">
        <f>mcguigannrbpremcuppts</f>
        <v>5</v>
      </c>
    </row>
    <row r="100" spans="1:6" ht="14.95" customHeight="1" thickBot="1" x14ac:dyDescent="0.3">
      <c r="A100" s="373" t="s">
        <v>799</v>
      </c>
      <c r="B100" s="374" t="s">
        <v>82</v>
      </c>
      <c r="C100" s="385">
        <f>staddonbthpremcuptries</f>
        <v>1</v>
      </c>
      <c r="D100" s="390" t="s">
        <v>433</v>
      </c>
      <c r="E100" s="390" t="s">
        <v>89</v>
      </c>
      <c r="F100" s="388">
        <f>murrayharpremcuppts</f>
        <v>5</v>
      </c>
    </row>
    <row r="101" spans="1:6" ht="14.95" customHeight="1" thickBot="1" x14ac:dyDescent="0.3">
      <c r="A101" s="373" t="s">
        <v>1072</v>
      </c>
      <c r="B101" s="374" t="s">
        <v>89</v>
      </c>
      <c r="C101" s="385">
        <f>Staplesharpremcuptries</f>
        <v>1</v>
      </c>
      <c r="D101" s="392" t="s">
        <v>816</v>
      </c>
      <c r="E101" s="392" t="s">
        <v>82</v>
      </c>
      <c r="F101" s="388">
        <f>offiahbthpremcuppts</f>
        <v>5</v>
      </c>
    </row>
    <row r="102" spans="1:6" ht="14.95" customHeight="1" thickBot="1" x14ac:dyDescent="0.3">
      <c r="A102" s="373" t="s">
        <v>1060</v>
      </c>
      <c r="B102" s="374" t="s">
        <v>81</v>
      </c>
      <c r="C102" s="385">
        <f>thomasalpremcuptries</f>
        <v>1</v>
      </c>
      <c r="D102" s="390" t="s">
        <v>954</v>
      </c>
      <c r="E102" s="390" t="s">
        <v>92</v>
      </c>
      <c r="F102" s="388">
        <f>owenbripremcuppts</f>
        <v>5</v>
      </c>
    </row>
    <row r="103" spans="1:6" ht="14.95" customHeight="1" thickBot="1" x14ac:dyDescent="0.3">
      <c r="A103" s="373" t="s">
        <v>1062</v>
      </c>
      <c r="B103" s="374" t="s">
        <v>80</v>
      </c>
      <c r="C103" s="385">
        <f>trenholmglopremcuptries</f>
        <v>1</v>
      </c>
      <c r="D103" s="390" t="s">
        <v>641</v>
      </c>
      <c r="E103" s="390" t="s">
        <v>92</v>
      </c>
      <c r="F103" s="388">
        <f>pearcebripremcuppts</f>
        <v>5</v>
      </c>
    </row>
    <row r="104" spans="1:6" ht="14.95" customHeight="1" thickBot="1" x14ac:dyDescent="0.3">
      <c r="A104" s="373" t="s">
        <v>350</v>
      </c>
      <c r="B104" s="373" t="s">
        <v>90</v>
      </c>
      <c r="C104" s="444">
        <f>tuimaexepremcuptries</f>
        <v>1</v>
      </c>
      <c r="D104" s="394" t="s">
        <v>382</v>
      </c>
      <c r="E104" s="394" t="s">
        <v>90</v>
      </c>
      <c r="F104" s="388">
        <f>pearsonexepremcuppts</f>
        <v>5</v>
      </c>
    </row>
    <row r="105" spans="1:6" ht="14.95" customHeight="1" thickBot="1" x14ac:dyDescent="0.3">
      <c r="A105" s="373" t="s">
        <v>337</v>
      </c>
      <c r="B105" s="373" t="s">
        <v>322</v>
      </c>
      <c r="C105" s="385">
        <f>vanzylsarpremcuptries</f>
        <v>1</v>
      </c>
      <c r="D105" s="393" t="s">
        <v>955</v>
      </c>
      <c r="E105" s="393" t="s">
        <v>92</v>
      </c>
      <c r="F105" s="388">
        <f>reeszammitbripremcuppts</f>
        <v>5</v>
      </c>
    </row>
    <row r="106" spans="1:6" ht="14.95" customHeight="1" thickBot="1" x14ac:dyDescent="0.3">
      <c r="A106" s="373" t="s">
        <v>209</v>
      </c>
      <c r="B106" s="373" t="s">
        <v>90</v>
      </c>
      <c r="C106" s="385">
        <f>varneyexepremcuptries</f>
        <v>1</v>
      </c>
      <c r="D106" s="393" t="s">
        <v>1085</v>
      </c>
      <c r="E106" s="393" t="s">
        <v>90</v>
      </c>
      <c r="F106" s="388">
        <f>ridlexepremcuppts</f>
        <v>5</v>
      </c>
    </row>
    <row r="107" spans="1:6" ht="14.95" customHeight="1" thickBot="1" x14ac:dyDescent="0.3">
      <c r="A107" s="373" t="s">
        <v>315</v>
      </c>
      <c r="B107" s="381" t="s">
        <v>544</v>
      </c>
      <c r="C107" s="385">
        <f>whiteleyleipremcuptries</f>
        <v>1</v>
      </c>
      <c r="D107" s="394" t="s">
        <v>653</v>
      </c>
      <c r="E107" s="394" t="s">
        <v>90</v>
      </c>
      <c r="F107" s="388">
        <f>riggexepremcuppts</f>
        <v>5</v>
      </c>
    </row>
    <row r="108" spans="1:6" ht="14.95" customHeight="1" thickBot="1" x14ac:dyDescent="0.3">
      <c r="A108" s="373" t="s">
        <v>1057</v>
      </c>
      <c r="B108" s="373" t="s">
        <v>81</v>
      </c>
      <c r="C108" s="386">
        <f>wilsonsalpremcuptries</f>
        <v>1</v>
      </c>
      <c r="D108" s="393" t="s">
        <v>416</v>
      </c>
      <c r="E108" s="393" t="s">
        <v>89</v>
      </c>
      <c r="F108" s="388">
        <f>rileyharpremcuppts</f>
        <v>5</v>
      </c>
    </row>
    <row r="109" spans="1:6" ht="14.95" customHeight="1" thickBot="1" x14ac:dyDescent="0.3">
      <c r="A109" s="373" t="s">
        <v>736</v>
      </c>
      <c r="B109" s="373" t="s">
        <v>83</v>
      </c>
      <c r="C109" s="385">
        <f>wrightnorpremcuptries</f>
        <v>1</v>
      </c>
      <c r="D109" s="393" t="s">
        <v>1059</v>
      </c>
      <c r="E109" s="393" t="s">
        <v>81</v>
      </c>
      <c r="F109" s="388">
        <f>Robertssalpremcuppts</f>
        <v>5</v>
      </c>
    </row>
    <row r="110" spans="1:6" ht="14.95" customHeight="1" thickBot="1" x14ac:dyDescent="0.3">
      <c r="A110" s="373" t="s">
        <v>817</v>
      </c>
      <c r="B110" s="373" t="s">
        <v>80</v>
      </c>
      <c r="C110" s="385">
        <v>0</v>
      </c>
      <c r="D110" s="394" t="s">
        <v>537</v>
      </c>
      <c r="E110" s="394" t="s">
        <v>90</v>
      </c>
      <c r="F110" s="388">
        <f>rootseexepremcuppts</f>
        <v>5</v>
      </c>
    </row>
    <row r="111" spans="1:6" ht="14.95" customHeight="1" thickBot="1" x14ac:dyDescent="0.3">
      <c r="A111" s="373" t="s">
        <v>738</v>
      </c>
      <c r="B111" s="373" t="s">
        <v>81</v>
      </c>
      <c r="C111" s="385">
        <v>0</v>
      </c>
      <c r="D111" s="393" t="s">
        <v>1054</v>
      </c>
      <c r="E111" s="393" t="s">
        <v>83</v>
      </c>
      <c r="F111" s="388">
        <f>rowernorpremcuppts</f>
        <v>5</v>
      </c>
    </row>
    <row r="112" spans="1:6" ht="14.95" customHeight="1" thickBot="1" x14ac:dyDescent="0.3">
      <c r="A112" s="373" t="s">
        <v>225</v>
      </c>
      <c r="B112" s="373" t="s">
        <v>80</v>
      </c>
      <c r="C112" s="385">
        <v>0</v>
      </c>
      <c r="D112" s="393" t="s">
        <v>1077</v>
      </c>
      <c r="E112" s="393" t="s">
        <v>83</v>
      </c>
      <c r="F112" s="388">
        <f>scolanorpremcuppts</f>
        <v>5</v>
      </c>
    </row>
    <row r="113" spans="1:6" ht="14.95" customHeight="1" thickBot="1" x14ac:dyDescent="0.3">
      <c r="A113" s="373" t="s">
        <v>868</v>
      </c>
      <c r="B113" s="373" t="s">
        <v>80</v>
      </c>
      <c r="C113" s="385">
        <v>0</v>
      </c>
      <c r="D113" s="393" t="s">
        <v>1018</v>
      </c>
      <c r="E113" s="393" t="s">
        <v>82</v>
      </c>
      <c r="F113" s="388">
        <f>selabthpremcuppts</f>
        <v>5</v>
      </c>
    </row>
    <row r="114" spans="1:6" ht="14.95" customHeight="1" thickBot="1" x14ac:dyDescent="0.3">
      <c r="A114" s="373" t="s">
        <v>467</v>
      </c>
      <c r="B114" s="373" t="s">
        <v>89</v>
      </c>
      <c r="C114" s="385">
        <v>0</v>
      </c>
      <c r="D114" s="393" t="s">
        <v>163</v>
      </c>
      <c r="E114" s="393" t="s">
        <v>83</v>
      </c>
      <c r="F114" s="388">
        <f>sleightholmenorpremcuppts</f>
        <v>5</v>
      </c>
    </row>
    <row r="115" spans="1:6" ht="14.95" customHeight="1" thickBot="1" x14ac:dyDescent="0.3">
      <c r="A115" s="381" t="s">
        <v>749</v>
      </c>
      <c r="B115" s="381" t="s">
        <v>81</v>
      </c>
      <c r="C115" s="385">
        <v>0</v>
      </c>
      <c r="D115" s="393" t="s">
        <v>710</v>
      </c>
      <c r="E115" s="393" t="s">
        <v>917</v>
      </c>
      <c r="F115" s="388">
        <f>spencernrbpremcuppts</f>
        <v>5</v>
      </c>
    </row>
    <row r="116" spans="1:6" ht="14.95" customHeight="1" thickBot="1" x14ac:dyDescent="0.3">
      <c r="A116" s="373" t="s">
        <v>103</v>
      </c>
      <c r="B116" s="373" t="s">
        <v>82</v>
      </c>
      <c r="C116" s="385">
        <v>0</v>
      </c>
      <c r="D116" s="393" t="s">
        <v>757</v>
      </c>
      <c r="E116" s="393" t="s">
        <v>322</v>
      </c>
      <c r="F116" s="391">
        <f>spinksarpremcuppts</f>
        <v>5</v>
      </c>
    </row>
    <row r="117" spans="1:6" ht="14.95" customHeight="1" thickBot="1" x14ac:dyDescent="0.3">
      <c r="A117" s="373" t="s">
        <v>413</v>
      </c>
      <c r="B117" s="373" t="s">
        <v>89</v>
      </c>
      <c r="C117" s="385">
        <v>0</v>
      </c>
      <c r="D117" s="393" t="s">
        <v>799</v>
      </c>
      <c r="E117" s="393" t="s">
        <v>82</v>
      </c>
      <c r="F117" s="388">
        <f>staddonbthpremcuppts</f>
        <v>5</v>
      </c>
    </row>
    <row r="118" spans="1:6" ht="14.95" customHeight="1" thickBot="1" x14ac:dyDescent="0.3">
      <c r="A118" s="373" t="s">
        <v>529</v>
      </c>
      <c r="B118" s="373" t="s">
        <v>90</v>
      </c>
      <c r="C118" s="385">
        <v>0</v>
      </c>
      <c r="D118" s="393" t="s">
        <v>1072</v>
      </c>
      <c r="E118" s="393" t="s">
        <v>89</v>
      </c>
      <c r="F118" s="388">
        <f>Staplesharpremcuppts</f>
        <v>5</v>
      </c>
    </row>
    <row r="119" spans="1:6" ht="14.95" customHeight="1" thickBot="1" x14ac:dyDescent="0.3">
      <c r="A119" s="373" t="s">
        <v>717</v>
      </c>
      <c r="B119" s="373" t="s">
        <v>917</v>
      </c>
      <c r="C119" s="385">
        <v>0</v>
      </c>
      <c r="D119" s="393" t="s">
        <v>1060</v>
      </c>
      <c r="E119" s="393" t="s">
        <v>81</v>
      </c>
      <c r="F119" s="388">
        <f>thomasalpremcuppts</f>
        <v>5</v>
      </c>
    </row>
    <row r="120" spans="1:6" ht="14.95" customHeight="1" thickBot="1" x14ac:dyDescent="0.3">
      <c r="A120" s="373" t="s">
        <v>672</v>
      </c>
      <c r="B120" s="373" t="s">
        <v>89</v>
      </c>
      <c r="C120" s="385">
        <v>0</v>
      </c>
      <c r="D120" s="393" t="s">
        <v>1062</v>
      </c>
      <c r="E120" s="393" t="s">
        <v>80</v>
      </c>
      <c r="F120" s="388">
        <f>trenholmglopremcuppts</f>
        <v>5</v>
      </c>
    </row>
    <row r="121" spans="1:6" ht="14.95" customHeight="1" thickBot="1" x14ac:dyDescent="0.3">
      <c r="A121" s="373" t="s">
        <v>270</v>
      </c>
      <c r="B121" s="373" t="s">
        <v>80</v>
      </c>
      <c r="C121" s="385">
        <v>0</v>
      </c>
      <c r="D121" s="393" t="s">
        <v>350</v>
      </c>
      <c r="E121" s="393" t="s">
        <v>90</v>
      </c>
      <c r="F121" s="388">
        <f>tuimaexepremcuppts</f>
        <v>5</v>
      </c>
    </row>
    <row r="122" spans="1:6" ht="14.95" customHeight="1" thickBot="1" x14ac:dyDescent="0.3">
      <c r="A122" s="373" t="s">
        <v>383</v>
      </c>
      <c r="B122" s="373" t="s">
        <v>80</v>
      </c>
      <c r="C122" s="385">
        <v>0</v>
      </c>
      <c r="D122" s="393" t="s">
        <v>337</v>
      </c>
      <c r="E122" s="393" t="s">
        <v>322</v>
      </c>
      <c r="F122" s="388">
        <f>vanzylsarpremcuppts</f>
        <v>5</v>
      </c>
    </row>
    <row r="123" spans="1:6" ht="14.95" customHeight="1" thickBot="1" x14ac:dyDescent="0.3">
      <c r="A123" s="373" t="s">
        <v>373</v>
      </c>
      <c r="B123" s="373" t="s">
        <v>83</v>
      </c>
      <c r="C123" s="385">
        <v>0</v>
      </c>
      <c r="D123" s="393" t="s">
        <v>209</v>
      </c>
      <c r="E123" s="393" t="s">
        <v>90</v>
      </c>
      <c r="F123" s="388">
        <f>varneyexepremcuppts</f>
        <v>5</v>
      </c>
    </row>
    <row r="124" spans="1:6" ht="14.95" customHeight="1" thickBot="1" x14ac:dyDescent="0.3">
      <c r="A124" s="373" t="s">
        <v>455</v>
      </c>
      <c r="B124" s="373" t="s">
        <v>92</v>
      </c>
      <c r="C124" s="385">
        <v>0</v>
      </c>
      <c r="D124" s="393" t="s">
        <v>315</v>
      </c>
      <c r="E124" s="393" t="s">
        <v>544</v>
      </c>
      <c r="F124" s="388">
        <f>whiteleyleipremcuppts</f>
        <v>5</v>
      </c>
    </row>
    <row r="125" spans="1:6" ht="14.95" customHeight="1" thickBot="1" x14ac:dyDescent="0.3">
      <c r="A125" s="373" t="s">
        <v>293</v>
      </c>
      <c r="B125" s="373" t="s">
        <v>544</v>
      </c>
      <c r="C125" s="385">
        <f>baileyleipremcuptries</f>
        <v>0</v>
      </c>
      <c r="D125" s="393" t="s">
        <v>1057</v>
      </c>
      <c r="E125" s="393" t="s">
        <v>81</v>
      </c>
      <c r="F125" s="388">
        <f>wilsonsalpremcuppts</f>
        <v>5</v>
      </c>
    </row>
    <row r="126" spans="1:6" ht="14.95" customHeight="1" thickBot="1" x14ac:dyDescent="0.3">
      <c r="A126" s="373" t="s">
        <v>692</v>
      </c>
      <c r="B126" s="373" t="s">
        <v>917</v>
      </c>
      <c r="C126" s="385">
        <v>0</v>
      </c>
      <c r="D126" s="394" t="s">
        <v>736</v>
      </c>
      <c r="E126" s="394" t="s">
        <v>83</v>
      </c>
      <c r="F126" s="388">
        <f>wrightnorpremcuppts</f>
        <v>5</v>
      </c>
    </row>
    <row r="127" spans="1:6" ht="14.95" customHeight="1" thickBot="1" x14ac:dyDescent="0.3">
      <c r="A127" s="373" t="s">
        <v>797</v>
      </c>
      <c r="B127" s="373" t="s">
        <v>83</v>
      </c>
      <c r="C127" s="385">
        <v>0</v>
      </c>
      <c r="D127" s="393" t="s">
        <v>1049</v>
      </c>
      <c r="E127" s="393" t="s">
        <v>92</v>
      </c>
      <c r="F127" s="388">
        <f>westonbripremcuppts</f>
        <v>4</v>
      </c>
    </row>
    <row r="128" spans="1:6" ht="14.95" customHeight="1" thickBot="1" x14ac:dyDescent="0.3">
      <c r="A128" s="373" t="s">
        <v>764</v>
      </c>
      <c r="B128" s="373" t="s">
        <v>322</v>
      </c>
      <c r="C128" s="385">
        <v>0</v>
      </c>
      <c r="D128" s="393" t="s">
        <v>1066</v>
      </c>
      <c r="E128" s="393" t="s">
        <v>90</v>
      </c>
      <c r="F128" s="388">
        <f>Coenexepremcuppts</f>
        <v>3</v>
      </c>
    </row>
    <row r="129" spans="1:6" ht="14.95" customHeight="1" thickBot="1" x14ac:dyDescent="0.3">
      <c r="A129" s="373" t="s">
        <v>531</v>
      </c>
      <c r="B129" s="373" t="s">
        <v>81</v>
      </c>
      <c r="C129" s="385">
        <v>0</v>
      </c>
      <c r="D129" s="393" t="s">
        <v>900</v>
      </c>
      <c r="E129" s="393" t="s">
        <v>544</v>
      </c>
      <c r="F129" s="388">
        <f>woodwardleipremcuppts</f>
        <v>3</v>
      </c>
    </row>
    <row r="130" spans="1:6" ht="14.95" customHeight="1" thickBot="1" x14ac:dyDescent="0.3">
      <c r="A130" s="373" t="s">
        <v>521</v>
      </c>
      <c r="B130" s="373" t="s">
        <v>82</v>
      </c>
      <c r="C130" s="385">
        <v>0</v>
      </c>
      <c r="D130" s="393" t="s">
        <v>360</v>
      </c>
      <c r="E130" s="393" t="s">
        <v>89</v>
      </c>
      <c r="F130" s="388">
        <f>bensonharpremcuppts</f>
        <v>2</v>
      </c>
    </row>
    <row r="131" spans="1:6" ht="14.95" customHeight="1" thickBot="1" x14ac:dyDescent="0.3">
      <c r="A131" s="373" t="s">
        <v>612</v>
      </c>
      <c r="B131" s="373" t="s">
        <v>92</v>
      </c>
      <c r="C131" s="385">
        <v>0</v>
      </c>
      <c r="D131" s="393" t="s">
        <v>525</v>
      </c>
      <c r="E131" s="393" t="s">
        <v>89</v>
      </c>
      <c r="F131" s="388">
        <f>Evans_Jharpremcuppts</f>
        <v>2</v>
      </c>
    </row>
    <row r="132" spans="1:6" ht="14.95" customHeight="1" thickBot="1" x14ac:dyDescent="0.3">
      <c r="A132" s="373" t="s">
        <v>177</v>
      </c>
      <c r="B132" s="373" t="s">
        <v>80</v>
      </c>
      <c r="C132" s="385">
        <f>bartonglopremcuptries</f>
        <v>0</v>
      </c>
      <c r="D132" s="393" t="s">
        <v>919</v>
      </c>
      <c r="E132" s="393" t="s">
        <v>89</v>
      </c>
      <c r="F132" s="388">
        <f>kerrharpremcuppts</f>
        <v>2</v>
      </c>
    </row>
    <row r="133" spans="1:6" ht="14.95" customHeight="1" thickBot="1" x14ac:dyDescent="0.3">
      <c r="A133" s="373" t="s">
        <v>532</v>
      </c>
      <c r="B133" s="381" t="s">
        <v>544</v>
      </c>
      <c r="C133" s="385">
        <v>0</v>
      </c>
      <c r="D133" s="393" t="s">
        <v>817</v>
      </c>
      <c r="E133" s="393" t="s">
        <v>80</v>
      </c>
      <c r="F133" s="388">
        <v>0</v>
      </c>
    </row>
    <row r="134" spans="1:6" ht="14.95" customHeight="1" thickBot="1" x14ac:dyDescent="0.3">
      <c r="A134" s="381" t="s">
        <v>190</v>
      </c>
      <c r="B134" s="381" t="s">
        <v>92</v>
      </c>
      <c r="C134" s="385">
        <v>0</v>
      </c>
      <c r="D134" s="393" t="s">
        <v>738</v>
      </c>
      <c r="E134" s="393" t="s">
        <v>81</v>
      </c>
      <c r="F134" s="388">
        <v>0</v>
      </c>
    </row>
    <row r="135" spans="1:6" ht="14.95" customHeight="1" thickBot="1" x14ac:dyDescent="0.3">
      <c r="A135" s="373" t="s">
        <v>295</v>
      </c>
      <c r="B135" s="373" t="s">
        <v>92</v>
      </c>
      <c r="C135" s="385">
        <v>0</v>
      </c>
      <c r="D135" s="393" t="s">
        <v>225</v>
      </c>
      <c r="E135" s="393" t="s">
        <v>80</v>
      </c>
      <c r="F135" s="388">
        <v>0</v>
      </c>
    </row>
    <row r="136" spans="1:6" ht="14.95" customHeight="1" thickBot="1" x14ac:dyDescent="0.3">
      <c r="A136" s="373" t="s">
        <v>490</v>
      </c>
      <c r="B136" s="373" t="s">
        <v>89</v>
      </c>
      <c r="C136" s="385">
        <v>0</v>
      </c>
      <c r="D136" s="394" t="s">
        <v>868</v>
      </c>
      <c r="E136" s="394" t="s">
        <v>80</v>
      </c>
      <c r="F136" s="388">
        <v>0</v>
      </c>
    </row>
    <row r="137" spans="1:6" ht="14.95" customHeight="1" thickBot="1" x14ac:dyDescent="0.3">
      <c r="A137" s="373" t="s">
        <v>104</v>
      </c>
      <c r="B137" s="373" t="s">
        <v>82</v>
      </c>
      <c r="C137" s="385">
        <v>0</v>
      </c>
      <c r="D137" s="393" t="s">
        <v>467</v>
      </c>
      <c r="E137" s="393" t="s">
        <v>89</v>
      </c>
      <c r="F137" s="388">
        <v>0</v>
      </c>
    </row>
    <row r="138" spans="1:6" ht="14.95" customHeight="1" thickBot="1" x14ac:dyDescent="0.3">
      <c r="A138" s="381" t="s">
        <v>372</v>
      </c>
      <c r="B138" s="381" t="s">
        <v>89</v>
      </c>
      <c r="C138" s="385">
        <v>0</v>
      </c>
      <c r="D138" s="393" t="s">
        <v>749</v>
      </c>
      <c r="E138" s="393" t="s">
        <v>81</v>
      </c>
      <c r="F138" s="388">
        <v>0</v>
      </c>
    </row>
    <row r="139" spans="1:6" ht="14.95" customHeight="1" thickBot="1" x14ac:dyDescent="0.3">
      <c r="A139" s="373" t="s">
        <v>105</v>
      </c>
      <c r="B139" s="373" t="s">
        <v>81</v>
      </c>
      <c r="C139" s="386">
        <v>0</v>
      </c>
      <c r="D139" s="394" t="s">
        <v>103</v>
      </c>
      <c r="E139" s="394" t="s">
        <v>82</v>
      </c>
      <c r="F139" s="388">
        <v>0</v>
      </c>
    </row>
    <row r="140" spans="1:6" ht="14.95" customHeight="1" thickBot="1" x14ac:dyDescent="0.3">
      <c r="A140" s="373" t="s">
        <v>442</v>
      </c>
      <c r="B140" s="373" t="s">
        <v>90</v>
      </c>
      <c r="C140" s="385">
        <v>0</v>
      </c>
      <c r="D140" s="394" t="s">
        <v>413</v>
      </c>
      <c r="E140" s="394" t="s">
        <v>89</v>
      </c>
      <c r="F140" s="388">
        <v>0</v>
      </c>
    </row>
    <row r="141" spans="1:6" ht="14.95" customHeight="1" thickBot="1" x14ac:dyDescent="0.3">
      <c r="A141" s="373" t="s">
        <v>751</v>
      </c>
      <c r="B141" s="373" t="s">
        <v>81</v>
      </c>
      <c r="C141" s="385">
        <v>0</v>
      </c>
      <c r="D141" s="393" t="s">
        <v>529</v>
      </c>
      <c r="E141" s="393" t="s">
        <v>90</v>
      </c>
      <c r="F141" s="388">
        <v>0</v>
      </c>
    </row>
    <row r="142" spans="1:6" ht="14.95" customHeight="1" thickBot="1" x14ac:dyDescent="0.3">
      <c r="A142" s="373" t="s">
        <v>155</v>
      </c>
      <c r="B142" s="373" t="s">
        <v>81</v>
      </c>
      <c r="C142" s="386">
        <v>0</v>
      </c>
      <c r="D142" s="393" t="s">
        <v>717</v>
      </c>
      <c r="E142" s="393" t="s">
        <v>917</v>
      </c>
      <c r="F142" s="388">
        <v>0</v>
      </c>
    </row>
    <row r="143" spans="1:6" ht="14.95" customHeight="1" thickBot="1" x14ac:dyDescent="0.3">
      <c r="A143" s="373" t="s">
        <v>650</v>
      </c>
      <c r="B143" s="373" t="s">
        <v>90</v>
      </c>
      <c r="C143" s="385">
        <v>0</v>
      </c>
      <c r="D143" s="393" t="s">
        <v>672</v>
      </c>
      <c r="E143" s="393" t="s">
        <v>89</v>
      </c>
      <c r="F143" s="388">
        <v>0</v>
      </c>
    </row>
    <row r="144" spans="1:6" ht="14.95" customHeight="1" thickBot="1" x14ac:dyDescent="0.3">
      <c r="A144" s="373" t="s">
        <v>965</v>
      </c>
      <c r="B144" s="373" t="s">
        <v>83</v>
      </c>
      <c r="C144" s="385">
        <f>Belleaunorpremcuptries</f>
        <v>0</v>
      </c>
      <c r="D144" s="393" t="s">
        <v>270</v>
      </c>
      <c r="E144" s="393" t="s">
        <v>80</v>
      </c>
      <c r="F144" s="388">
        <v>0</v>
      </c>
    </row>
    <row r="145" spans="1:6" ht="14.95" customHeight="1" thickBot="1" x14ac:dyDescent="0.3">
      <c r="A145" s="381" t="s">
        <v>565</v>
      </c>
      <c r="B145" s="381" t="s">
        <v>917</v>
      </c>
      <c r="C145" s="385">
        <v>0</v>
      </c>
      <c r="D145" s="393" t="s">
        <v>383</v>
      </c>
      <c r="E145" s="393" t="s">
        <v>80</v>
      </c>
      <c r="F145" s="388">
        <v>0</v>
      </c>
    </row>
    <row r="146" spans="1:6" ht="14.95" customHeight="1" thickBot="1" x14ac:dyDescent="0.3">
      <c r="A146" s="373" t="s">
        <v>881</v>
      </c>
      <c r="B146" s="373" t="s">
        <v>83</v>
      </c>
      <c r="C146" s="386">
        <v>0</v>
      </c>
      <c r="D146" s="393" t="s">
        <v>373</v>
      </c>
      <c r="E146" s="393" t="s">
        <v>83</v>
      </c>
      <c r="F146" s="388">
        <v>0</v>
      </c>
    </row>
    <row r="147" spans="1:6" ht="14.95" customHeight="1" thickBot="1" x14ac:dyDescent="0.3">
      <c r="A147" s="373" t="s">
        <v>360</v>
      </c>
      <c r="B147" s="373" t="s">
        <v>89</v>
      </c>
      <c r="C147" s="385">
        <f>bensonharpremcuptries</f>
        <v>0</v>
      </c>
      <c r="D147" s="393" t="s">
        <v>455</v>
      </c>
      <c r="E147" s="393" t="s">
        <v>92</v>
      </c>
      <c r="F147" s="388">
        <v>0</v>
      </c>
    </row>
    <row r="148" spans="1:6" ht="14.95" customHeight="1" thickBot="1" x14ac:dyDescent="0.3">
      <c r="A148" s="377" t="s">
        <v>368</v>
      </c>
      <c r="B148" s="377" t="s">
        <v>81</v>
      </c>
      <c r="C148" s="386">
        <v>0</v>
      </c>
      <c r="D148" s="393" t="s">
        <v>692</v>
      </c>
      <c r="E148" s="393" t="s">
        <v>917</v>
      </c>
      <c r="F148" s="388">
        <v>0</v>
      </c>
    </row>
    <row r="149" spans="1:6" ht="14.95" customHeight="1" thickBot="1" x14ac:dyDescent="0.3">
      <c r="A149" s="373" t="s">
        <v>379</v>
      </c>
      <c r="B149" s="373" t="s">
        <v>80</v>
      </c>
      <c r="C149" s="385">
        <v>0</v>
      </c>
      <c r="D149" s="393" t="s">
        <v>797</v>
      </c>
      <c r="E149" s="393" t="s">
        <v>83</v>
      </c>
      <c r="F149" s="388">
        <v>0</v>
      </c>
    </row>
    <row r="150" spans="1:6" ht="14.95" customHeight="1" thickBot="1" x14ac:dyDescent="0.3">
      <c r="A150" s="377" t="s">
        <v>249</v>
      </c>
      <c r="B150" s="377" t="s">
        <v>917</v>
      </c>
      <c r="C150" s="386">
        <v>0</v>
      </c>
      <c r="D150" s="393" t="s">
        <v>764</v>
      </c>
      <c r="E150" s="393" t="s">
        <v>322</v>
      </c>
      <c r="F150" s="388">
        <v>0</v>
      </c>
    </row>
    <row r="151" spans="1:6" ht="14.95" customHeight="1" thickBot="1" x14ac:dyDescent="0.3">
      <c r="A151" s="373" t="s">
        <v>763</v>
      </c>
      <c r="B151" s="373" t="s">
        <v>322</v>
      </c>
      <c r="C151" s="385">
        <v>0</v>
      </c>
      <c r="D151" s="393" t="s">
        <v>531</v>
      </c>
      <c r="E151" s="393" t="s">
        <v>81</v>
      </c>
      <c r="F151" s="388">
        <v>0</v>
      </c>
    </row>
    <row r="152" spans="1:6" ht="14.95" customHeight="1" thickBot="1" x14ac:dyDescent="0.3">
      <c r="A152" s="373" t="s">
        <v>770</v>
      </c>
      <c r="B152" s="373" t="s">
        <v>322</v>
      </c>
      <c r="C152" s="385">
        <v>0</v>
      </c>
      <c r="D152" s="393" t="s">
        <v>521</v>
      </c>
      <c r="E152" s="393" t="s">
        <v>82</v>
      </c>
      <c r="F152" s="388">
        <v>0</v>
      </c>
    </row>
    <row r="153" spans="1:6" ht="14.95" customHeight="1" thickBot="1" x14ac:dyDescent="0.3">
      <c r="A153" s="373" t="s">
        <v>251</v>
      </c>
      <c r="B153" s="373" t="s">
        <v>917</v>
      </c>
      <c r="C153" s="385">
        <v>0</v>
      </c>
      <c r="D153" s="393" t="s">
        <v>612</v>
      </c>
      <c r="E153" s="393" t="s">
        <v>92</v>
      </c>
      <c r="F153" s="388">
        <v>0</v>
      </c>
    </row>
    <row r="154" spans="1:6" ht="14.95" customHeight="1" thickBot="1" x14ac:dyDescent="0.3">
      <c r="A154" s="373" t="s">
        <v>543</v>
      </c>
      <c r="B154" s="373" t="s">
        <v>917</v>
      </c>
      <c r="C154" s="385">
        <v>0</v>
      </c>
      <c r="D154" s="393" t="s">
        <v>532</v>
      </c>
      <c r="E154" s="393" t="s">
        <v>544</v>
      </c>
      <c r="F154" s="388">
        <v>0</v>
      </c>
    </row>
    <row r="155" spans="1:6" ht="14.95" customHeight="1" thickBot="1" x14ac:dyDescent="0.3">
      <c r="A155" s="373" t="s">
        <v>106</v>
      </c>
      <c r="B155" s="381" t="s">
        <v>544</v>
      </c>
      <c r="C155" s="385">
        <v>0</v>
      </c>
      <c r="D155" s="394" t="s">
        <v>190</v>
      </c>
      <c r="E155" s="394" t="s">
        <v>92</v>
      </c>
      <c r="F155" s="388">
        <v>0</v>
      </c>
    </row>
    <row r="156" spans="1:6" ht="14.95" customHeight="1" thickBot="1" x14ac:dyDescent="0.3">
      <c r="A156" s="373" t="s">
        <v>790</v>
      </c>
      <c r="B156" s="373" t="s">
        <v>90</v>
      </c>
      <c r="C156" s="385">
        <v>0</v>
      </c>
      <c r="D156" s="394" t="s">
        <v>295</v>
      </c>
      <c r="E156" s="394" t="s">
        <v>92</v>
      </c>
      <c r="F156" s="388">
        <v>0</v>
      </c>
    </row>
    <row r="157" spans="1:6" ht="14.95" customHeight="1" thickBot="1" x14ac:dyDescent="0.3">
      <c r="A157" s="373" t="s">
        <v>533</v>
      </c>
      <c r="B157" s="373" t="s">
        <v>89</v>
      </c>
      <c r="C157" s="385">
        <v>0</v>
      </c>
      <c r="D157" s="393" t="s">
        <v>490</v>
      </c>
      <c r="E157" s="393" t="s">
        <v>89</v>
      </c>
      <c r="F157" s="391">
        <v>0</v>
      </c>
    </row>
    <row r="158" spans="1:6" ht="14.95" customHeight="1" thickBot="1" x14ac:dyDescent="0.3">
      <c r="A158" s="373" t="s">
        <v>759</v>
      </c>
      <c r="B158" s="373" t="s">
        <v>322</v>
      </c>
      <c r="C158" s="385">
        <v>0</v>
      </c>
      <c r="D158" s="393" t="s">
        <v>104</v>
      </c>
      <c r="E158" s="393" t="s">
        <v>82</v>
      </c>
      <c r="F158" s="388">
        <v>0</v>
      </c>
    </row>
    <row r="159" spans="1:6" ht="14.95" customHeight="1" thickBot="1" x14ac:dyDescent="0.3">
      <c r="A159" s="373" t="s">
        <v>836</v>
      </c>
      <c r="B159" s="373" t="s">
        <v>81</v>
      </c>
      <c r="C159" s="385">
        <v>0</v>
      </c>
      <c r="D159" s="393" t="s">
        <v>372</v>
      </c>
      <c r="E159" s="393" t="s">
        <v>89</v>
      </c>
      <c r="F159" s="388">
        <v>0</v>
      </c>
    </row>
    <row r="160" spans="1:6" ht="14.95" customHeight="1" thickBot="1" x14ac:dyDescent="0.3">
      <c r="A160" s="373" t="s">
        <v>851</v>
      </c>
      <c r="B160" s="373" t="s">
        <v>80</v>
      </c>
      <c r="C160" s="385">
        <v>0</v>
      </c>
      <c r="D160" s="393" t="s">
        <v>105</v>
      </c>
      <c r="E160" s="393" t="s">
        <v>81</v>
      </c>
      <c r="F160" s="388">
        <v>0</v>
      </c>
    </row>
    <row r="161" spans="1:6" ht="14.95" customHeight="1" thickBot="1" x14ac:dyDescent="0.3">
      <c r="A161" s="373" t="s">
        <v>223</v>
      </c>
      <c r="B161" s="373" t="s">
        <v>917</v>
      </c>
      <c r="C161" s="385">
        <v>0</v>
      </c>
      <c r="D161" s="393" t="s">
        <v>442</v>
      </c>
      <c r="E161" s="393" t="s">
        <v>90</v>
      </c>
      <c r="F161" s="388">
        <v>0</v>
      </c>
    </row>
    <row r="162" spans="1:6" ht="14.95" customHeight="1" thickBot="1" x14ac:dyDescent="0.3">
      <c r="A162" s="373" t="s">
        <v>846</v>
      </c>
      <c r="B162" s="373" t="s">
        <v>92</v>
      </c>
      <c r="C162" s="385">
        <v>0</v>
      </c>
      <c r="D162" s="394" t="s">
        <v>751</v>
      </c>
      <c r="E162" s="393" t="s">
        <v>81</v>
      </c>
      <c r="F162" s="388">
        <v>0</v>
      </c>
    </row>
    <row r="163" spans="1:6" ht="14.95" customHeight="1" thickBot="1" x14ac:dyDescent="0.3">
      <c r="A163" s="373" t="s">
        <v>908</v>
      </c>
      <c r="B163" s="373" t="s">
        <v>80</v>
      </c>
      <c r="C163" s="385">
        <f>byrneglopremcuptries</f>
        <v>0</v>
      </c>
      <c r="D163" s="393" t="s">
        <v>155</v>
      </c>
      <c r="E163" s="393" t="s">
        <v>81</v>
      </c>
      <c r="F163" s="388">
        <v>0</v>
      </c>
    </row>
    <row r="164" spans="1:6" ht="14.95" customHeight="1" thickBot="1" x14ac:dyDescent="0.3">
      <c r="A164" s="373" t="s">
        <v>488</v>
      </c>
      <c r="B164" s="373" t="s">
        <v>90</v>
      </c>
      <c r="C164" s="385">
        <v>0</v>
      </c>
      <c r="D164" s="393" t="s">
        <v>650</v>
      </c>
      <c r="E164" s="393" t="s">
        <v>90</v>
      </c>
      <c r="F164" s="388">
        <v>0</v>
      </c>
    </row>
    <row r="165" spans="1:6" ht="14.95" customHeight="1" thickBot="1" x14ac:dyDescent="0.3">
      <c r="A165" s="373" t="s">
        <v>192</v>
      </c>
      <c r="B165" s="373" t="s">
        <v>92</v>
      </c>
      <c r="C165" s="385">
        <v>0</v>
      </c>
      <c r="D165" s="393" t="s">
        <v>565</v>
      </c>
      <c r="E165" s="393" t="s">
        <v>917</v>
      </c>
      <c r="F165" s="388">
        <v>0</v>
      </c>
    </row>
    <row r="166" spans="1:6" ht="14.95" customHeight="1" thickBot="1" x14ac:dyDescent="0.3">
      <c r="A166" s="373" t="s">
        <v>159</v>
      </c>
      <c r="B166" s="373" t="s">
        <v>90</v>
      </c>
      <c r="C166" s="385">
        <v>0</v>
      </c>
      <c r="D166" s="393" t="s">
        <v>881</v>
      </c>
      <c r="E166" s="393" t="s">
        <v>83</v>
      </c>
      <c r="F166" s="388">
        <v>0</v>
      </c>
    </row>
    <row r="167" spans="1:6" ht="14.95" customHeight="1" thickBot="1" x14ac:dyDescent="0.3">
      <c r="A167" s="373" t="s">
        <v>587</v>
      </c>
      <c r="B167" s="373" t="s">
        <v>917</v>
      </c>
      <c r="C167" s="385">
        <v>0</v>
      </c>
      <c r="D167" s="395" t="s">
        <v>368</v>
      </c>
      <c r="E167" s="395" t="s">
        <v>81</v>
      </c>
      <c r="F167" s="388">
        <v>0</v>
      </c>
    </row>
    <row r="168" spans="1:6" ht="14.95" customHeight="1" thickBot="1" x14ac:dyDescent="0.3">
      <c r="A168" s="373" t="s">
        <v>877</v>
      </c>
      <c r="B168" s="381" t="s">
        <v>544</v>
      </c>
      <c r="C168" s="385">
        <v>0</v>
      </c>
      <c r="D168" s="393" t="s">
        <v>379</v>
      </c>
      <c r="E168" s="393" t="s">
        <v>80</v>
      </c>
      <c r="F168" s="388">
        <v>0</v>
      </c>
    </row>
    <row r="169" spans="1:6" ht="14.95" customHeight="1" thickBot="1" x14ac:dyDescent="0.3">
      <c r="A169" s="381" t="s">
        <v>399</v>
      </c>
      <c r="B169" s="381" t="s">
        <v>81</v>
      </c>
      <c r="C169" s="385">
        <v>0</v>
      </c>
      <c r="D169" s="395" t="s">
        <v>249</v>
      </c>
      <c r="E169" s="395" t="s">
        <v>917</v>
      </c>
      <c r="F169" s="388">
        <v>0</v>
      </c>
    </row>
    <row r="170" spans="1:6" ht="14.95" customHeight="1" thickBot="1" x14ac:dyDescent="0.3">
      <c r="A170" s="373" t="s">
        <v>430</v>
      </c>
      <c r="B170" s="373" t="s">
        <v>89</v>
      </c>
      <c r="C170" s="385">
        <v>0</v>
      </c>
      <c r="D170" s="393" t="s">
        <v>763</v>
      </c>
      <c r="E170" s="393" t="s">
        <v>322</v>
      </c>
      <c r="F170" s="388">
        <v>0</v>
      </c>
    </row>
    <row r="171" spans="1:6" ht="14.95" customHeight="1" thickBot="1" x14ac:dyDescent="0.3">
      <c r="A171" s="373" t="s">
        <v>767</v>
      </c>
      <c r="B171" s="373" t="s">
        <v>322</v>
      </c>
      <c r="C171" s="385">
        <v>0</v>
      </c>
      <c r="D171" s="393" t="s">
        <v>770</v>
      </c>
      <c r="E171" s="393" t="s">
        <v>322</v>
      </c>
      <c r="F171" s="388">
        <v>0</v>
      </c>
    </row>
    <row r="172" spans="1:6" ht="14.95" customHeight="1" thickBot="1" x14ac:dyDescent="0.3">
      <c r="A172" s="377" t="s">
        <v>464</v>
      </c>
      <c r="B172" s="377" t="s">
        <v>82</v>
      </c>
      <c r="C172" s="385">
        <v>0</v>
      </c>
      <c r="D172" s="393" t="s">
        <v>251</v>
      </c>
      <c r="E172" s="393" t="s">
        <v>917</v>
      </c>
      <c r="F172" s="388">
        <v>0</v>
      </c>
    </row>
    <row r="173" spans="1:6" ht="14.95" customHeight="1" thickBot="1" x14ac:dyDescent="0.3">
      <c r="A173" s="373" t="s">
        <v>153</v>
      </c>
      <c r="B173" s="373" t="s">
        <v>80</v>
      </c>
      <c r="C173" s="385">
        <v>0</v>
      </c>
      <c r="D173" s="393" t="s">
        <v>543</v>
      </c>
      <c r="E173" s="393" t="s">
        <v>917</v>
      </c>
      <c r="F173" s="388">
        <v>0</v>
      </c>
    </row>
    <row r="174" spans="1:6" ht="14.95" customHeight="1" thickBot="1" x14ac:dyDescent="0.3">
      <c r="A174" s="373" t="s">
        <v>609</v>
      </c>
      <c r="B174" s="373" t="s">
        <v>92</v>
      </c>
      <c r="C174" s="385">
        <v>0</v>
      </c>
      <c r="D174" s="393" t="s">
        <v>106</v>
      </c>
      <c r="E174" s="393" t="s">
        <v>544</v>
      </c>
      <c r="F174" s="388">
        <v>0</v>
      </c>
    </row>
    <row r="175" spans="1:6" ht="14.95" customHeight="1" thickBot="1" x14ac:dyDescent="0.3">
      <c r="A175" s="373" t="s">
        <v>420</v>
      </c>
      <c r="B175" s="381" t="s">
        <v>544</v>
      </c>
      <c r="C175" s="386">
        <v>0</v>
      </c>
      <c r="D175" s="393" t="s">
        <v>790</v>
      </c>
      <c r="E175" s="393" t="s">
        <v>90</v>
      </c>
      <c r="F175" s="388">
        <v>0</v>
      </c>
    </row>
    <row r="176" spans="1:6" ht="14.95" customHeight="1" thickBot="1" x14ac:dyDescent="0.3">
      <c r="A176" s="377" t="s">
        <v>290</v>
      </c>
      <c r="B176" s="381" t="s">
        <v>544</v>
      </c>
      <c r="C176" s="386">
        <v>0</v>
      </c>
      <c r="D176" s="393" t="s">
        <v>533</v>
      </c>
      <c r="E176" s="393" t="s">
        <v>89</v>
      </c>
      <c r="F176" s="388">
        <v>0</v>
      </c>
    </row>
    <row r="177" spans="1:6" ht="14.95" customHeight="1" thickBot="1" x14ac:dyDescent="0.3">
      <c r="A177" s="373" t="s">
        <v>85</v>
      </c>
      <c r="B177" s="373" t="s">
        <v>89</v>
      </c>
      <c r="C177" s="385">
        <v>0</v>
      </c>
      <c r="D177" s="393" t="s">
        <v>759</v>
      </c>
      <c r="E177" s="393" t="s">
        <v>322</v>
      </c>
      <c r="F177" s="388">
        <v>0</v>
      </c>
    </row>
    <row r="178" spans="1:6" ht="14.95" customHeight="1" thickBot="1" x14ac:dyDescent="0.3">
      <c r="A178" s="373" t="s">
        <v>555</v>
      </c>
      <c r="B178" s="373" t="s">
        <v>322</v>
      </c>
      <c r="C178" s="385">
        <v>0</v>
      </c>
      <c r="D178" s="394" t="s">
        <v>836</v>
      </c>
      <c r="E178" s="394" t="s">
        <v>81</v>
      </c>
      <c r="F178" s="388">
        <v>0</v>
      </c>
    </row>
    <row r="179" spans="1:6" ht="14.95" customHeight="1" thickBot="1" x14ac:dyDescent="0.3">
      <c r="A179" s="373" t="s">
        <v>323</v>
      </c>
      <c r="B179" s="373" t="s">
        <v>322</v>
      </c>
      <c r="C179" s="385">
        <v>0</v>
      </c>
      <c r="D179" s="393" t="s">
        <v>851</v>
      </c>
      <c r="E179" s="393" t="s">
        <v>80</v>
      </c>
      <c r="F179" s="388">
        <v>0</v>
      </c>
    </row>
    <row r="180" spans="1:6" ht="14.95" customHeight="1" thickBot="1" x14ac:dyDescent="0.3">
      <c r="A180" s="373" t="s">
        <v>444</v>
      </c>
      <c r="B180" s="373" t="s">
        <v>80</v>
      </c>
      <c r="C180" s="385">
        <v>0</v>
      </c>
      <c r="D180" s="393" t="s">
        <v>223</v>
      </c>
      <c r="E180" s="393" t="s">
        <v>917</v>
      </c>
      <c r="F180" s="388">
        <v>0</v>
      </c>
    </row>
    <row r="181" spans="1:6" ht="14.95" customHeight="1" thickBot="1" x14ac:dyDescent="0.3">
      <c r="A181" s="373" t="s">
        <v>107</v>
      </c>
      <c r="B181" s="373" t="s">
        <v>80</v>
      </c>
      <c r="C181" s="385">
        <v>0</v>
      </c>
      <c r="D181" s="393" t="s">
        <v>846</v>
      </c>
      <c r="E181" s="393" t="s">
        <v>92</v>
      </c>
      <c r="F181" s="388">
        <v>0</v>
      </c>
    </row>
    <row r="182" spans="1:6" ht="14.95" customHeight="1" thickBot="1" x14ac:dyDescent="0.3">
      <c r="A182" s="373" t="s">
        <v>683</v>
      </c>
      <c r="B182" s="381" t="s">
        <v>544</v>
      </c>
      <c r="C182" s="385">
        <v>0</v>
      </c>
      <c r="D182" s="393" t="s">
        <v>488</v>
      </c>
      <c r="E182" s="393" t="s">
        <v>90</v>
      </c>
      <c r="F182" s="388">
        <v>0</v>
      </c>
    </row>
    <row r="183" spans="1:6" ht="14.95" customHeight="1" thickBot="1" x14ac:dyDescent="0.3">
      <c r="A183" s="373" t="s">
        <v>347</v>
      </c>
      <c r="B183" s="373" t="s">
        <v>80</v>
      </c>
      <c r="C183" s="385">
        <v>0</v>
      </c>
      <c r="D183" s="393" t="s">
        <v>192</v>
      </c>
      <c r="E183" s="393" t="s">
        <v>92</v>
      </c>
      <c r="F183" s="388">
        <v>0</v>
      </c>
    </row>
    <row r="184" spans="1:6" ht="14.95" customHeight="1" thickBot="1" x14ac:dyDescent="0.3">
      <c r="A184" s="373" t="s">
        <v>1066</v>
      </c>
      <c r="B184" s="381" t="s">
        <v>90</v>
      </c>
      <c r="C184" s="385">
        <f>Coenexepremcuptries</f>
        <v>0</v>
      </c>
      <c r="D184" s="393" t="s">
        <v>159</v>
      </c>
      <c r="E184" s="393" t="s">
        <v>90</v>
      </c>
      <c r="F184" s="388">
        <v>0</v>
      </c>
    </row>
    <row r="185" spans="1:6" ht="14.95" customHeight="1" thickBot="1" x14ac:dyDescent="0.3">
      <c r="A185" s="373" t="s">
        <v>550</v>
      </c>
      <c r="B185" s="373" t="s">
        <v>82</v>
      </c>
      <c r="C185" s="385">
        <v>0</v>
      </c>
      <c r="D185" s="393" t="s">
        <v>587</v>
      </c>
      <c r="E185" s="393" t="s">
        <v>917</v>
      </c>
      <c r="F185" s="388">
        <v>0</v>
      </c>
    </row>
    <row r="186" spans="1:6" ht="14.95" customHeight="1" thickBot="1" x14ac:dyDescent="0.3">
      <c r="A186" s="373" t="s">
        <v>108</v>
      </c>
      <c r="B186" s="373" t="s">
        <v>82</v>
      </c>
      <c r="C186" s="385">
        <v>0</v>
      </c>
      <c r="D186" s="393" t="s">
        <v>877</v>
      </c>
      <c r="E186" s="393" t="s">
        <v>544</v>
      </c>
      <c r="F186" s="388">
        <v>0</v>
      </c>
    </row>
    <row r="187" spans="1:6" ht="14.95" customHeight="1" thickBot="1" x14ac:dyDescent="0.3">
      <c r="A187" s="373" t="s">
        <v>168</v>
      </c>
      <c r="B187" s="373" t="s">
        <v>83</v>
      </c>
      <c r="C187" s="385">
        <v>0</v>
      </c>
      <c r="D187" s="394" t="s">
        <v>399</v>
      </c>
      <c r="E187" s="393" t="s">
        <v>81</v>
      </c>
      <c r="F187" s="388">
        <v>0</v>
      </c>
    </row>
    <row r="188" spans="1:6" ht="14.95" customHeight="1" thickBot="1" x14ac:dyDescent="0.3">
      <c r="A188" s="381" t="s">
        <v>260</v>
      </c>
      <c r="B188" s="381" t="s">
        <v>917</v>
      </c>
      <c r="C188" s="385">
        <f>connonnrbpremcuptries</f>
        <v>0</v>
      </c>
      <c r="D188" s="393" t="s">
        <v>430</v>
      </c>
      <c r="E188" s="393" t="s">
        <v>89</v>
      </c>
      <c r="F188" s="388">
        <v>0</v>
      </c>
    </row>
    <row r="189" spans="1:6" ht="14.95" customHeight="1" thickBot="1" x14ac:dyDescent="0.3">
      <c r="A189" s="373" t="s">
        <v>695</v>
      </c>
      <c r="B189" s="373" t="s">
        <v>917</v>
      </c>
      <c r="C189" s="385">
        <v>0</v>
      </c>
      <c r="D189" s="393" t="s">
        <v>767</v>
      </c>
      <c r="E189" s="393" t="s">
        <v>322</v>
      </c>
      <c r="F189" s="388">
        <v>0</v>
      </c>
    </row>
    <row r="190" spans="1:6" ht="14.95" customHeight="1" thickBot="1" x14ac:dyDescent="0.3">
      <c r="A190" s="373" t="s">
        <v>824</v>
      </c>
      <c r="B190" s="373" t="s">
        <v>83</v>
      </c>
      <c r="C190" s="385">
        <v>0</v>
      </c>
      <c r="D190" s="395" t="s">
        <v>464</v>
      </c>
      <c r="E190" s="395" t="s">
        <v>82</v>
      </c>
      <c r="F190" s="388">
        <v>0</v>
      </c>
    </row>
    <row r="191" spans="1:6" ht="14.95" customHeight="1" thickBot="1" x14ac:dyDescent="0.3">
      <c r="A191" s="381" t="s">
        <v>556</v>
      </c>
      <c r="B191" s="381" t="s">
        <v>81</v>
      </c>
      <c r="C191" s="385">
        <v>0</v>
      </c>
      <c r="D191" s="393" t="s">
        <v>153</v>
      </c>
      <c r="E191" s="393" t="s">
        <v>80</v>
      </c>
      <c r="F191" s="388">
        <v>0</v>
      </c>
    </row>
    <row r="192" spans="1:6" ht="14.95" customHeight="1" thickBot="1" x14ac:dyDescent="0.3">
      <c r="A192" s="373" t="s">
        <v>377</v>
      </c>
      <c r="B192" s="381" t="s">
        <v>544</v>
      </c>
      <c r="C192" s="385">
        <v>0</v>
      </c>
      <c r="D192" s="393" t="s">
        <v>609</v>
      </c>
      <c r="E192" s="393" t="s">
        <v>92</v>
      </c>
      <c r="F192" s="388">
        <v>0</v>
      </c>
    </row>
    <row r="193" spans="1:6" ht="14.95" customHeight="1" thickBot="1" x14ac:dyDescent="0.3">
      <c r="A193" s="373" t="s">
        <v>768</v>
      </c>
      <c r="B193" s="373" t="s">
        <v>322</v>
      </c>
      <c r="C193" s="385">
        <v>0</v>
      </c>
      <c r="D193" s="393" t="s">
        <v>420</v>
      </c>
      <c r="E193" s="393" t="s">
        <v>544</v>
      </c>
      <c r="F193" s="388">
        <v>0</v>
      </c>
    </row>
    <row r="194" spans="1:6" ht="14.95" customHeight="1" thickBot="1" x14ac:dyDescent="0.3">
      <c r="A194" s="381" t="s">
        <v>616</v>
      </c>
      <c r="B194" s="381" t="s">
        <v>92</v>
      </c>
      <c r="C194" s="385">
        <v>0</v>
      </c>
      <c r="D194" s="393" t="s">
        <v>290</v>
      </c>
      <c r="E194" s="393" t="s">
        <v>544</v>
      </c>
      <c r="F194" s="388">
        <v>0</v>
      </c>
    </row>
    <row r="195" spans="1:6" ht="14.95" customHeight="1" thickBot="1" x14ac:dyDescent="0.3">
      <c r="A195" s="373" t="s">
        <v>598</v>
      </c>
      <c r="B195" s="373" t="s">
        <v>89</v>
      </c>
      <c r="C195" s="385">
        <v>0</v>
      </c>
      <c r="D195" s="393" t="s">
        <v>85</v>
      </c>
      <c r="E195" s="393" t="s">
        <v>89</v>
      </c>
      <c r="F195" s="391">
        <v>0</v>
      </c>
    </row>
    <row r="196" spans="1:6" ht="14.95" customHeight="1" thickBot="1" x14ac:dyDescent="0.3">
      <c r="A196" s="377" t="s">
        <v>87</v>
      </c>
      <c r="B196" s="377" t="s">
        <v>81</v>
      </c>
      <c r="C196" s="386">
        <v>0</v>
      </c>
      <c r="D196" s="396" t="s">
        <v>555</v>
      </c>
      <c r="E196" s="396" t="s">
        <v>322</v>
      </c>
      <c r="F196" s="388">
        <v>0</v>
      </c>
    </row>
    <row r="197" spans="1:6" ht="14.95" customHeight="1" thickBot="1" x14ac:dyDescent="0.3">
      <c r="A197" s="373" t="s">
        <v>88</v>
      </c>
      <c r="B197" s="373" t="s">
        <v>81</v>
      </c>
      <c r="C197" s="385">
        <v>0</v>
      </c>
      <c r="D197" s="396" t="s">
        <v>323</v>
      </c>
      <c r="E197" s="396" t="s">
        <v>322</v>
      </c>
      <c r="F197" s="388">
        <v>0</v>
      </c>
    </row>
    <row r="198" spans="1:6" ht="14.95" customHeight="1" thickBot="1" x14ac:dyDescent="0.3">
      <c r="A198" s="382" t="s">
        <v>186</v>
      </c>
      <c r="B198" s="373" t="s">
        <v>81</v>
      </c>
      <c r="C198" s="385">
        <f>curtissalpremcuptries</f>
        <v>0</v>
      </c>
      <c r="D198" s="396" t="s">
        <v>444</v>
      </c>
      <c r="E198" s="396" t="s">
        <v>80</v>
      </c>
      <c r="F198" s="388">
        <v>0</v>
      </c>
    </row>
    <row r="199" spans="1:6" ht="14.95" customHeight="1" thickBot="1" x14ac:dyDescent="0.3">
      <c r="A199" s="382" t="s">
        <v>635</v>
      </c>
      <c r="B199" s="373" t="s">
        <v>92</v>
      </c>
      <c r="C199" s="385">
        <v>0</v>
      </c>
      <c r="D199" s="396" t="s">
        <v>107</v>
      </c>
      <c r="E199" s="396" t="s">
        <v>80</v>
      </c>
      <c r="F199" s="388">
        <v>0</v>
      </c>
    </row>
    <row r="200" spans="1:6" ht="14.95" customHeight="1" thickBot="1" x14ac:dyDescent="0.3">
      <c r="A200" s="382" t="s">
        <v>324</v>
      </c>
      <c r="B200" s="373" t="s">
        <v>322</v>
      </c>
      <c r="C200" s="385">
        <v>0</v>
      </c>
      <c r="D200" s="396" t="s">
        <v>683</v>
      </c>
      <c r="E200" s="396" t="s">
        <v>544</v>
      </c>
      <c r="F200" s="388">
        <v>0</v>
      </c>
    </row>
    <row r="201" spans="1:6" ht="14.95" customHeight="1" thickBot="1" x14ac:dyDescent="0.3">
      <c r="A201" s="382" t="s">
        <v>481</v>
      </c>
      <c r="B201" s="373" t="s">
        <v>322</v>
      </c>
      <c r="C201" s="385">
        <v>0</v>
      </c>
      <c r="D201" s="396" t="s">
        <v>347</v>
      </c>
      <c r="E201" s="396" t="s">
        <v>80</v>
      </c>
      <c r="F201" s="388">
        <v>0</v>
      </c>
    </row>
    <row r="202" spans="1:6" ht="14.95" customHeight="1" thickBot="1" x14ac:dyDescent="0.3">
      <c r="A202" s="382" t="s">
        <v>170</v>
      </c>
      <c r="B202" s="373" t="s">
        <v>89</v>
      </c>
      <c r="C202" s="385">
        <v>0</v>
      </c>
      <c r="D202" s="396" t="s">
        <v>550</v>
      </c>
      <c r="E202" s="396" t="s">
        <v>82</v>
      </c>
      <c r="F202" s="388">
        <v>0</v>
      </c>
    </row>
    <row r="203" spans="1:6" ht="14.95" customHeight="1" thickBot="1" x14ac:dyDescent="0.3">
      <c r="A203" s="382" t="s">
        <v>858</v>
      </c>
      <c r="B203" s="373" t="s">
        <v>83</v>
      </c>
      <c r="C203" s="385">
        <v>0</v>
      </c>
      <c r="D203" s="396" t="s">
        <v>108</v>
      </c>
      <c r="E203" s="396" t="s">
        <v>82</v>
      </c>
      <c r="F203" s="388">
        <v>0</v>
      </c>
    </row>
    <row r="204" spans="1:6" ht="14.95" customHeight="1" thickBot="1" x14ac:dyDescent="0.3">
      <c r="A204" s="382" t="s">
        <v>684</v>
      </c>
      <c r="B204" s="381" t="s">
        <v>544</v>
      </c>
      <c r="C204" s="385">
        <v>0</v>
      </c>
      <c r="D204" s="396" t="s">
        <v>168</v>
      </c>
      <c r="E204" s="396" t="s">
        <v>83</v>
      </c>
      <c r="F204" s="388">
        <v>0</v>
      </c>
    </row>
    <row r="205" spans="1:6" ht="14.95" customHeight="1" thickBot="1" x14ac:dyDescent="0.3">
      <c r="A205" s="382" t="s">
        <v>449</v>
      </c>
      <c r="B205" s="373" t="s">
        <v>81</v>
      </c>
      <c r="C205" s="385">
        <v>0</v>
      </c>
      <c r="D205" s="397" t="s">
        <v>695</v>
      </c>
      <c r="E205" s="397" t="s">
        <v>917</v>
      </c>
      <c r="F205" s="388">
        <v>0</v>
      </c>
    </row>
    <row r="206" spans="1:6" ht="14.95" customHeight="1" thickBot="1" x14ac:dyDescent="0.3">
      <c r="A206" s="382" t="s">
        <v>696</v>
      </c>
      <c r="B206" s="373" t="s">
        <v>917</v>
      </c>
      <c r="C206" s="385">
        <v>0</v>
      </c>
      <c r="D206" s="396" t="s">
        <v>824</v>
      </c>
      <c r="E206" s="396" t="s">
        <v>83</v>
      </c>
      <c r="F206" s="388">
        <v>0</v>
      </c>
    </row>
    <row r="207" spans="1:6" ht="14.95" customHeight="1" thickBot="1" x14ac:dyDescent="0.3">
      <c r="A207" s="382" t="s">
        <v>721</v>
      </c>
      <c r="B207" s="373" t="s">
        <v>917</v>
      </c>
      <c r="C207" s="385">
        <v>0</v>
      </c>
      <c r="D207" s="397" t="s">
        <v>556</v>
      </c>
      <c r="E207" s="397" t="s">
        <v>81</v>
      </c>
      <c r="F207" s="388">
        <v>0</v>
      </c>
    </row>
    <row r="208" spans="1:6" ht="14.95" customHeight="1" thickBot="1" x14ac:dyDescent="0.3">
      <c r="A208" s="382" t="s">
        <v>534</v>
      </c>
      <c r="B208" s="373" t="s">
        <v>917</v>
      </c>
      <c r="C208" s="385">
        <v>0</v>
      </c>
      <c r="D208" s="396" t="s">
        <v>377</v>
      </c>
      <c r="E208" s="396" t="s">
        <v>544</v>
      </c>
      <c r="F208" s="388">
        <v>0</v>
      </c>
    </row>
    <row r="209" spans="1:6" ht="14.95" customHeight="1" thickBot="1" x14ac:dyDescent="0.3">
      <c r="A209" s="382" t="s">
        <v>162</v>
      </c>
      <c r="B209" s="373" t="s">
        <v>83</v>
      </c>
      <c r="C209" s="385">
        <v>0</v>
      </c>
      <c r="D209" s="396" t="s">
        <v>768</v>
      </c>
      <c r="E209" s="396" t="s">
        <v>322</v>
      </c>
      <c r="F209" s="388">
        <v>0</v>
      </c>
    </row>
    <row r="210" spans="1:6" ht="14.95" customHeight="1" thickBot="1" x14ac:dyDescent="0.3">
      <c r="A210" s="375" t="s">
        <v>718</v>
      </c>
      <c r="B210" s="373" t="s">
        <v>917</v>
      </c>
      <c r="C210" s="385">
        <v>0</v>
      </c>
      <c r="D210" s="396" t="s">
        <v>616</v>
      </c>
      <c r="E210" s="396" t="s">
        <v>92</v>
      </c>
      <c r="F210" s="388">
        <v>0</v>
      </c>
    </row>
    <row r="211" spans="1:6" ht="14.95" customHeight="1" thickBot="1" x14ac:dyDescent="0.3">
      <c r="A211" s="382" t="s">
        <v>109</v>
      </c>
      <c r="B211" s="373" t="s">
        <v>89</v>
      </c>
      <c r="C211" s="385">
        <v>0</v>
      </c>
      <c r="D211" s="396" t="s">
        <v>598</v>
      </c>
      <c r="E211" s="396" t="s">
        <v>89</v>
      </c>
      <c r="F211" s="388">
        <v>0</v>
      </c>
    </row>
    <row r="212" spans="1:6" ht="14.95" customHeight="1" thickBot="1" x14ac:dyDescent="0.3">
      <c r="A212" s="382" t="s">
        <v>866</v>
      </c>
      <c r="B212" s="373" t="s">
        <v>82</v>
      </c>
      <c r="C212" s="385">
        <v>0</v>
      </c>
      <c r="D212" s="446" t="s">
        <v>87</v>
      </c>
      <c r="E212" s="446" t="s">
        <v>81</v>
      </c>
      <c r="F212" s="388">
        <v>0</v>
      </c>
    </row>
    <row r="213" spans="1:6" ht="14.95" customHeight="1" thickBot="1" x14ac:dyDescent="0.3">
      <c r="A213" s="382" t="s">
        <v>651</v>
      </c>
      <c r="B213" s="373" t="s">
        <v>90</v>
      </c>
      <c r="C213" s="385">
        <v>0</v>
      </c>
      <c r="D213" s="396" t="s">
        <v>88</v>
      </c>
      <c r="E213" s="396" t="s">
        <v>81</v>
      </c>
      <c r="F213" s="388">
        <v>0</v>
      </c>
    </row>
    <row r="214" spans="1:6" ht="14.95" customHeight="1" thickBot="1" x14ac:dyDescent="0.3">
      <c r="A214" s="382" t="s">
        <v>610</v>
      </c>
      <c r="B214" s="373" t="s">
        <v>92</v>
      </c>
      <c r="C214" s="385">
        <v>0</v>
      </c>
      <c r="D214" s="396" t="s">
        <v>635</v>
      </c>
      <c r="E214" s="396" t="s">
        <v>92</v>
      </c>
      <c r="F214" s="388">
        <v>0</v>
      </c>
    </row>
    <row r="215" spans="1:6" ht="14.95" customHeight="1" thickBot="1" x14ac:dyDescent="0.3">
      <c r="A215" s="375" t="s">
        <v>182</v>
      </c>
      <c r="B215" s="373" t="s">
        <v>81</v>
      </c>
      <c r="C215" s="385">
        <v>0</v>
      </c>
      <c r="D215" s="396" t="s">
        <v>324</v>
      </c>
      <c r="E215" s="396" t="s">
        <v>322</v>
      </c>
      <c r="F215" s="388">
        <v>0</v>
      </c>
    </row>
    <row r="216" spans="1:6" ht="14.95" customHeight="1" thickBot="1" x14ac:dyDescent="0.3">
      <c r="A216" s="375" t="s">
        <v>164</v>
      </c>
      <c r="B216" s="373" t="s">
        <v>81</v>
      </c>
      <c r="C216" s="385">
        <v>0</v>
      </c>
      <c r="D216" s="396" t="s">
        <v>481</v>
      </c>
      <c r="E216" s="396" t="s">
        <v>322</v>
      </c>
      <c r="F216" s="388">
        <v>0</v>
      </c>
    </row>
    <row r="217" spans="1:6" ht="14.95" customHeight="1" thickBot="1" x14ac:dyDescent="0.3">
      <c r="A217" s="382" t="s">
        <v>157</v>
      </c>
      <c r="B217" s="373" t="s">
        <v>81</v>
      </c>
      <c r="C217" s="385">
        <f>dupreezralpremcuptries</f>
        <v>0</v>
      </c>
      <c r="D217" s="396" t="s">
        <v>170</v>
      </c>
      <c r="E217" s="396" t="s">
        <v>89</v>
      </c>
      <c r="F217" s="388">
        <v>0</v>
      </c>
    </row>
    <row r="218" spans="1:6" ht="14.95" customHeight="1" thickBot="1" x14ac:dyDescent="0.3">
      <c r="A218" s="375" t="s">
        <v>536</v>
      </c>
      <c r="B218" s="373" t="s">
        <v>82</v>
      </c>
      <c r="C218" s="385">
        <v>0</v>
      </c>
      <c r="D218" s="396" t="s">
        <v>356</v>
      </c>
      <c r="E218" s="396" t="s">
        <v>83</v>
      </c>
      <c r="F218" s="391">
        <v>0</v>
      </c>
    </row>
    <row r="219" spans="1:6" ht="14.95" customHeight="1" thickBot="1" x14ac:dyDescent="0.3">
      <c r="A219" s="382" t="s">
        <v>552</v>
      </c>
      <c r="B219" s="373" t="s">
        <v>92</v>
      </c>
      <c r="C219" s="385">
        <v>0</v>
      </c>
      <c r="D219" s="396" t="s">
        <v>684</v>
      </c>
      <c r="E219" s="396" t="s">
        <v>544</v>
      </c>
      <c r="F219" s="388">
        <v>0</v>
      </c>
    </row>
    <row r="220" spans="1:6" ht="14.95" customHeight="1" thickBot="1" x14ac:dyDescent="0.3">
      <c r="A220" s="375" t="s">
        <v>110</v>
      </c>
      <c r="B220" s="381" t="s">
        <v>82</v>
      </c>
      <c r="C220" s="385">
        <v>0</v>
      </c>
      <c r="D220" s="396" t="s">
        <v>449</v>
      </c>
      <c r="E220" s="396" t="s">
        <v>81</v>
      </c>
      <c r="F220" s="388">
        <v>0</v>
      </c>
    </row>
    <row r="221" spans="1:6" ht="14.95" customHeight="1" thickBot="1" x14ac:dyDescent="0.3">
      <c r="A221" s="382" t="s">
        <v>111</v>
      </c>
      <c r="B221" s="373" t="s">
        <v>322</v>
      </c>
      <c r="C221" s="385">
        <v>0</v>
      </c>
      <c r="D221" s="397" t="s">
        <v>696</v>
      </c>
      <c r="E221" s="397" t="s">
        <v>917</v>
      </c>
      <c r="F221" s="391">
        <v>0</v>
      </c>
    </row>
    <row r="222" spans="1:6" ht="14.95" customHeight="1" thickBot="1" x14ac:dyDescent="0.3">
      <c r="A222" s="382" t="s">
        <v>658</v>
      </c>
      <c r="B222" s="373" t="s">
        <v>80</v>
      </c>
      <c r="C222" s="385">
        <v>0</v>
      </c>
      <c r="D222" s="396" t="s">
        <v>721</v>
      </c>
      <c r="E222" s="396" t="s">
        <v>917</v>
      </c>
      <c r="F222" s="388">
        <v>0</v>
      </c>
    </row>
    <row r="223" spans="1:6" ht="14.95" customHeight="1" thickBot="1" x14ac:dyDescent="0.3">
      <c r="A223" s="375" t="s">
        <v>781</v>
      </c>
      <c r="B223" s="375" t="s">
        <v>322</v>
      </c>
      <c r="C223" s="385">
        <v>0</v>
      </c>
      <c r="D223" s="396" t="s">
        <v>534</v>
      </c>
      <c r="E223" s="396" t="s">
        <v>917</v>
      </c>
      <c r="F223" s="388">
        <v>0</v>
      </c>
    </row>
    <row r="224" spans="1:6" ht="14.95" customHeight="1" thickBot="1" x14ac:dyDescent="0.3">
      <c r="A224" s="382" t="s">
        <v>812</v>
      </c>
      <c r="B224" s="382" t="s">
        <v>92</v>
      </c>
      <c r="C224" s="385">
        <v>0</v>
      </c>
      <c r="D224" s="396" t="s">
        <v>162</v>
      </c>
      <c r="E224" s="396" t="s">
        <v>83</v>
      </c>
      <c r="F224" s="388">
        <v>0</v>
      </c>
    </row>
    <row r="225" spans="1:6" ht="14.95" customHeight="1" thickBot="1" x14ac:dyDescent="0.3">
      <c r="A225" s="382" t="s">
        <v>697</v>
      </c>
      <c r="B225" s="382" t="s">
        <v>917</v>
      </c>
      <c r="C225" s="385">
        <v>0</v>
      </c>
      <c r="D225" s="397" t="s">
        <v>718</v>
      </c>
      <c r="E225" s="397" t="s">
        <v>917</v>
      </c>
      <c r="F225" s="388">
        <v>0</v>
      </c>
    </row>
    <row r="226" spans="1:6" ht="14.95" customHeight="1" thickBot="1" x14ac:dyDescent="0.3">
      <c r="A226" s="382" t="s">
        <v>451</v>
      </c>
      <c r="B226" s="382" t="s">
        <v>322</v>
      </c>
      <c r="C226" s="385">
        <v>0</v>
      </c>
      <c r="D226" s="396" t="s">
        <v>109</v>
      </c>
      <c r="E226" s="396" t="s">
        <v>89</v>
      </c>
      <c r="F226" s="388">
        <v>0</v>
      </c>
    </row>
    <row r="227" spans="1:6" ht="14.95" customHeight="1" thickBot="1" x14ac:dyDescent="0.3">
      <c r="A227" s="382" t="s">
        <v>831</v>
      </c>
      <c r="B227" s="382" t="s">
        <v>81</v>
      </c>
      <c r="C227" s="385">
        <v>0</v>
      </c>
      <c r="D227" s="397" t="s">
        <v>866</v>
      </c>
      <c r="E227" s="397" t="s">
        <v>82</v>
      </c>
      <c r="F227" s="388">
        <v>0</v>
      </c>
    </row>
    <row r="228" spans="1:6" ht="14.95" customHeight="1" thickBot="1" x14ac:dyDescent="0.3">
      <c r="A228" s="382" t="s">
        <v>591</v>
      </c>
      <c r="B228" s="382" t="s">
        <v>80</v>
      </c>
      <c r="C228" s="386">
        <v>0</v>
      </c>
      <c r="D228" s="396" t="s">
        <v>651</v>
      </c>
      <c r="E228" s="396" t="s">
        <v>90</v>
      </c>
      <c r="F228" s="388">
        <v>0</v>
      </c>
    </row>
    <row r="229" spans="1:6" ht="14.95" customHeight="1" thickBot="1" x14ac:dyDescent="0.3">
      <c r="A229" s="382" t="s">
        <v>525</v>
      </c>
      <c r="B229" s="382" t="s">
        <v>89</v>
      </c>
      <c r="C229" s="385">
        <f>Evans_Jharpremcuptries</f>
        <v>0</v>
      </c>
      <c r="D229" s="396" t="s">
        <v>610</v>
      </c>
      <c r="E229" s="396" t="s">
        <v>92</v>
      </c>
      <c r="F229" s="388">
        <v>0</v>
      </c>
    </row>
    <row r="230" spans="1:6" ht="14.95" customHeight="1" thickBot="1" x14ac:dyDescent="0.3">
      <c r="A230" s="382" t="s">
        <v>277</v>
      </c>
      <c r="B230" s="382" t="s">
        <v>89</v>
      </c>
      <c r="C230" s="385">
        <v>0</v>
      </c>
      <c r="D230" s="397" t="s">
        <v>182</v>
      </c>
      <c r="E230" s="396" t="s">
        <v>81</v>
      </c>
      <c r="F230" s="388">
        <v>0</v>
      </c>
    </row>
    <row r="231" spans="1:6" ht="14.95" customHeight="1" thickBot="1" x14ac:dyDescent="0.3">
      <c r="A231" s="382" t="s">
        <v>112</v>
      </c>
      <c r="B231" s="382" t="s">
        <v>82</v>
      </c>
      <c r="C231" s="385">
        <v>0</v>
      </c>
      <c r="D231" s="397" t="s">
        <v>164</v>
      </c>
      <c r="E231" s="396" t="s">
        <v>81</v>
      </c>
      <c r="F231" s="388">
        <v>0</v>
      </c>
    </row>
    <row r="232" spans="1:6" ht="14.95" customHeight="1" thickBot="1" x14ac:dyDescent="0.3">
      <c r="A232" s="375" t="s">
        <v>659</v>
      </c>
      <c r="B232" s="382" t="s">
        <v>80</v>
      </c>
      <c r="C232" s="385">
        <v>0</v>
      </c>
      <c r="D232" s="396" t="s">
        <v>536</v>
      </c>
      <c r="E232" s="396" t="s">
        <v>82</v>
      </c>
      <c r="F232" s="388">
        <v>0</v>
      </c>
    </row>
    <row r="233" spans="1:6" ht="14.95" customHeight="1" thickBot="1" x14ac:dyDescent="0.3">
      <c r="A233" s="382" t="s">
        <v>472</v>
      </c>
      <c r="B233" s="382" t="s">
        <v>90</v>
      </c>
      <c r="C233" s="385">
        <v>0</v>
      </c>
      <c r="D233" s="396" t="s">
        <v>552</v>
      </c>
      <c r="E233" s="396" t="s">
        <v>92</v>
      </c>
      <c r="F233" s="388">
        <v>0</v>
      </c>
    </row>
    <row r="234" spans="1:6" ht="14.95" customHeight="1" thickBot="1" x14ac:dyDescent="0.3">
      <c r="A234" s="382" t="s">
        <v>528</v>
      </c>
      <c r="B234" s="382" t="s">
        <v>90</v>
      </c>
      <c r="C234" s="385">
        <v>0</v>
      </c>
      <c r="D234" s="397" t="s">
        <v>110</v>
      </c>
      <c r="E234" s="397" t="s">
        <v>82</v>
      </c>
      <c r="F234" s="388">
        <v>0</v>
      </c>
    </row>
    <row r="235" spans="1:6" ht="14.95" customHeight="1" thickBot="1" x14ac:dyDescent="0.3">
      <c r="A235" s="382" t="s">
        <v>485</v>
      </c>
      <c r="B235" s="382" t="s">
        <v>81</v>
      </c>
      <c r="C235" s="385">
        <v>0</v>
      </c>
      <c r="D235" s="396" t="s">
        <v>111</v>
      </c>
      <c r="E235" s="396" t="s">
        <v>322</v>
      </c>
      <c r="F235" s="388">
        <v>0</v>
      </c>
    </row>
    <row r="236" spans="1:6" ht="14.95" customHeight="1" thickBot="1" x14ac:dyDescent="0.3">
      <c r="A236" s="382" t="s">
        <v>113</v>
      </c>
      <c r="B236" s="382" t="s">
        <v>80</v>
      </c>
      <c r="C236" s="385">
        <v>0</v>
      </c>
      <c r="D236" s="396" t="s">
        <v>658</v>
      </c>
      <c r="E236" s="396" t="s">
        <v>80</v>
      </c>
      <c r="F236" s="388">
        <v>0</v>
      </c>
    </row>
    <row r="237" spans="1:6" ht="14.95" customHeight="1" thickBot="1" x14ac:dyDescent="0.3">
      <c r="A237" s="382" t="s">
        <v>289</v>
      </c>
      <c r="B237" s="382" t="s">
        <v>83</v>
      </c>
      <c r="C237" s="385">
        <v>0</v>
      </c>
      <c r="D237" s="396" t="s">
        <v>781</v>
      </c>
      <c r="E237" s="396" t="s">
        <v>322</v>
      </c>
      <c r="F237" s="388">
        <v>0</v>
      </c>
    </row>
    <row r="238" spans="1:6" ht="14.95" customHeight="1" thickBot="1" x14ac:dyDescent="0.3">
      <c r="A238" s="382" t="s">
        <v>791</v>
      </c>
      <c r="B238" s="382" t="s">
        <v>92</v>
      </c>
      <c r="C238" s="385">
        <v>0</v>
      </c>
      <c r="D238" s="393" t="s">
        <v>812</v>
      </c>
      <c r="E238" s="393" t="s">
        <v>92</v>
      </c>
      <c r="F238" s="388">
        <v>0</v>
      </c>
    </row>
    <row r="239" spans="1:6" ht="14.95" customHeight="1" thickBot="1" x14ac:dyDescent="0.3">
      <c r="A239" s="382" t="s">
        <v>114</v>
      </c>
      <c r="B239" s="382" t="s">
        <v>83</v>
      </c>
      <c r="C239" s="385">
        <f>furbanknorpremcuptries</f>
        <v>0</v>
      </c>
      <c r="D239" s="393" t="s">
        <v>697</v>
      </c>
      <c r="E239" s="393" t="s">
        <v>917</v>
      </c>
      <c r="F239" s="388">
        <v>0</v>
      </c>
    </row>
    <row r="240" spans="1:6" ht="14.95" customHeight="1" thickBot="1" x14ac:dyDescent="0.3">
      <c r="A240" s="382" t="s">
        <v>583</v>
      </c>
      <c r="B240" s="382" t="s">
        <v>83</v>
      </c>
      <c r="C240" s="385">
        <v>0</v>
      </c>
      <c r="D240" s="393" t="s">
        <v>451</v>
      </c>
      <c r="E240" s="393" t="s">
        <v>322</v>
      </c>
      <c r="F240" s="388">
        <v>0</v>
      </c>
    </row>
    <row r="241" spans="1:6" ht="14.95" customHeight="1" thickBot="1" x14ac:dyDescent="0.3">
      <c r="A241" s="373" t="s">
        <v>115</v>
      </c>
      <c r="B241" s="373" t="s">
        <v>92</v>
      </c>
      <c r="C241" s="385">
        <v>0</v>
      </c>
      <c r="D241" s="393" t="s">
        <v>831</v>
      </c>
      <c r="E241" s="393" t="s">
        <v>81</v>
      </c>
      <c r="F241" s="388">
        <v>0</v>
      </c>
    </row>
    <row r="242" spans="1:6" ht="14.95" customHeight="1" thickBot="1" x14ac:dyDescent="0.3">
      <c r="A242" s="373" t="s">
        <v>325</v>
      </c>
      <c r="B242" s="373" t="s">
        <v>322</v>
      </c>
      <c r="C242" s="385">
        <v>0</v>
      </c>
      <c r="D242" s="395" t="s">
        <v>591</v>
      </c>
      <c r="E242" s="395" t="s">
        <v>80</v>
      </c>
      <c r="F242" s="398">
        <v>0</v>
      </c>
    </row>
    <row r="243" spans="1:6" ht="14.95" customHeight="1" thickBot="1" x14ac:dyDescent="0.3">
      <c r="A243" s="373" t="s">
        <v>392</v>
      </c>
      <c r="B243" s="373" t="s">
        <v>89</v>
      </c>
      <c r="C243" s="385">
        <v>0</v>
      </c>
      <c r="D243" s="393" t="s">
        <v>277</v>
      </c>
      <c r="E243" s="393" t="s">
        <v>89</v>
      </c>
      <c r="F243" s="398">
        <v>0</v>
      </c>
    </row>
    <row r="244" spans="1:6" ht="14.95" customHeight="1" thickBot="1" x14ac:dyDescent="0.3">
      <c r="A244" s="373" t="s">
        <v>857</v>
      </c>
      <c r="B244" s="373" t="s">
        <v>83</v>
      </c>
      <c r="C244" s="385">
        <v>0</v>
      </c>
      <c r="D244" s="393" t="s">
        <v>112</v>
      </c>
      <c r="E244" s="393" t="s">
        <v>82</v>
      </c>
      <c r="F244" s="398">
        <v>0</v>
      </c>
    </row>
    <row r="245" spans="1:6" ht="14.95" customHeight="1" thickBot="1" x14ac:dyDescent="0.3">
      <c r="A245" s="373" t="s">
        <v>541</v>
      </c>
      <c r="B245" s="373" t="s">
        <v>322</v>
      </c>
      <c r="C245" s="385">
        <v>0</v>
      </c>
      <c r="D245" s="394" t="s">
        <v>659</v>
      </c>
      <c r="E245" s="394" t="s">
        <v>80</v>
      </c>
      <c r="F245" s="398">
        <v>0</v>
      </c>
    </row>
    <row r="246" spans="1:6" ht="14.95" customHeight="1" thickBot="1" x14ac:dyDescent="0.3">
      <c r="A246" s="373" t="s">
        <v>326</v>
      </c>
      <c r="B246" s="373" t="s">
        <v>322</v>
      </c>
      <c r="C246" s="385">
        <v>0</v>
      </c>
      <c r="D246" s="393" t="s">
        <v>472</v>
      </c>
      <c r="E246" s="393" t="s">
        <v>90</v>
      </c>
      <c r="F246" s="398">
        <v>0</v>
      </c>
    </row>
    <row r="247" spans="1:6" ht="14.95" customHeight="1" thickBot="1" x14ac:dyDescent="0.3">
      <c r="A247" s="373" t="s">
        <v>647</v>
      </c>
      <c r="B247" s="373" t="s">
        <v>90</v>
      </c>
      <c r="C247" s="385">
        <v>0</v>
      </c>
      <c r="D247" s="393" t="s">
        <v>528</v>
      </c>
      <c r="E247" s="393" t="s">
        <v>90</v>
      </c>
      <c r="F247" s="398">
        <v>0</v>
      </c>
    </row>
    <row r="248" spans="1:6" ht="14.95" customHeight="1" thickBot="1" x14ac:dyDescent="0.3">
      <c r="A248" s="373" t="s">
        <v>725</v>
      </c>
      <c r="B248" s="373" t="s">
        <v>917</v>
      </c>
      <c r="C248" s="385">
        <v>0</v>
      </c>
      <c r="D248" s="393" t="s">
        <v>485</v>
      </c>
      <c r="E248" s="393" t="s">
        <v>81</v>
      </c>
      <c r="F248" s="398">
        <v>0</v>
      </c>
    </row>
    <row r="249" spans="1:6" ht="14.95" customHeight="1" thickBot="1" x14ac:dyDescent="0.3">
      <c r="A249" s="373" t="s">
        <v>655</v>
      </c>
      <c r="B249" s="373" t="s">
        <v>80</v>
      </c>
      <c r="C249" s="385">
        <v>0</v>
      </c>
      <c r="D249" s="393" t="s">
        <v>113</v>
      </c>
      <c r="E249" s="393" t="s">
        <v>80</v>
      </c>
      <c r="F249" s="398">
        <v>0</v>
      </c>
    </row>
    <row r="250" spans="1:6" ht="14.95" customHeight="1" thickBot="1" x14ac:dyDescent="0.3">
      <c r="A250" s="373" t="s">
        <v>800</v>
      </c>
      <c r="B250" s="373" t="s">
        <v>82</v>
      </c>
      <c r="C250" s="385">
        <v>0</v>
      </c>
      <c r="D250" s="393" t="s">
        <v>289</v>
      </c>
      <c r="E250" s="393" t="s">
        <v>83</v>
      </c>
      <c r="F250" s="272">
        <v>0</v>
      </c>
    </row>
    <row r="251" spans="1:6" ht="14.95" customHeight="1" thickBot="1" x14ac:dyDescent="0.3">
      <c r="A251" s="373" t="s">
        <v>788</v>
      </c>
      <c r="B251" s="373" t="s">
        <v>917</v>
      </c>
      <c r="C251" s="385">
        <v>0</v>
      </c>
      <c r="D251" s="393" t="s">
        <v>791</v>
      </c>
      <c r="E251" s="393" t="s">
        <v>92</v>
      </c>
      <c r="F251" s="398">
        <v>0</v>
      </c>
    </row>
    <row r="252" spans="1:6" ht="14.95" customHeight="1" thickBot="1" x14ac:dyDescent="0.3">
      <c r="A252" s="373" t="s">
        <v>414</v>
      </c>
      <c r="B252" s="373" t="s">
        <v>89</v>
      </c>
      <c r="C252" s="385">
        <v>0</v>
      </c>
      <c r="D252" s="393" t="s">
        <v>583</v>
      </c>
      <c r="E252" s="393" t="s">
        <v>83</v>
      </c>
      <c r="F252" s="398">
        <v>0</v>
      </c>
    </row>
    <row r="253" spans="1:6" ht="14.95" customHeight="1" thickBot="1" x14ac:dyDescent="0.3">
      <c r="A253" s="377" t="s">
        <v>287</v>
      </c>
      <c r="B253" s="377" t="s">
        <v>89</v>
      </c>
      <c r="C253" s="386">
        <v>0</v>
      </c>
      <c r="D253" s="393" t="s">
        <v>115</v>
      </c>
      <c r="E253" s="393" t="s">
        <v>92</v>
      </c>
      <c r="F253" s="398">
        <v>0</v>
      </c>
    </row>
    <row r="254" spans="1:6" ht="14.95" customHeight="1" thickBot="1" x14ac:dyDescent="0.3">
      <c r="A254" s="381" t="s">
        <v>701</v>
      </c>
      <c r="B254" s="381" t="s">
        <v>917</v>
      </c>
      <c r="C254" s="385">
        <v>0</v>
      </c>
      <c r="D254" s="393" t="s">
        <v>325</v>
      </c>
      <c r="E254" s="393" t="s">
        <v>322</v>
      </c>
      <c r="F254" s="398">
        <v>0</v>
      </c>
    </row>
    <row r="255" spans="1:6" ht="14.95" customHeight="1" thickBot="1" x14ac:dyDescent="0.3">
      <c r="A255" s="381" t="s">
        <v>623</v>
      </c>
      <c r="B255" s="381" t="s">
        <v>92</v>
      </c>
      <c r="C255" s="385">
        <v>0</v>
      </c>
      <c r="D255" s="393" t="s">
        <v>392</v>
      </c>
      <c r="E255" s="393" t="s">
        <v>89</v>
      </c>
      <c r="F255" s="399">
        <v>0</v>
      </c>
    </row>
    <row r="256" spans="1:6" ht="14.95" customHeight="1" thickBot="1" x14ac:dyDescent="0.3">
      <c r="A256" s="373" t="s">
        <v>624</v>
      </c>
      <c r="B256" s="373" t="s">
        <v>92</v>
      </c>
      <c r="C256" s="385">
        <v>0</v>
      </c>
      <c r="D256" s="393" t="s">
        <v>857</v>
      </c>
      <c r="E256" s="393" t="s">
        <v>83</v>
      </c>
      <c r="F256" s="399">
        <v>0</v>
      </c>
    </row>
    <row r="257" spans="1:6" ht="14.95" customHeight="1" thickBot="1" x14ac:dyDescent="0.3">
      <c r="A257" s="373" t="s">
        <v>750</v>
      </c>
      <c r="B257" s="373" t="s">
        <v>81</v>
      </c>
      <c r="C257" s="385">
        <v>0</v>
      </c>
      <c r="D257" s="393" t="s">
        <v>541</v>
      </c>
      <c r="E257" s="393" t="s">
        <v>322</v>
      </c>
      <c r="F257" s="399">
        <v>0</v>
      </c>
    </row>
    <row r="258" spans="1:6" ht="14.95" customHeight="1" thickBot="1" x14ac:dyDescent="0.3">
      <c r="A258" s="373" t="s">
        <v>578</v>
      </c>
      <c r="B258" s="373" t="s">
        <v>322</v>
      </c>
      <c r="C258" s="385">
        <v>0</v>
      </c>
      <c r="D258" s="393" t="s">
        <v>326</v>
      </c>
      <c r="E258" s="393" t="s">
        <v>322</v>
      </c>
      <c r="F258" s="399">
        <v>0</v>
      </c>
    </row>
    <row r="259" spans="1:6" ht="14.95" customHeight="1" thickBot="1" x14ac:dyDescent="0.3">
      <c r="A259" s="373" t="s">
        <v>727</v>
      </c>
      <c r="B259" s="373" t="s">
        <v>83</v>
      </c>
      <c r="C259" s="385">
        <v>0</v>
      </c>
      <c r="D259" s="393" t="s">
        <v>647</v>
      </c>
      <c r="E259" s="393" t="s">
        <v>90</v>
      </c>
      <c r="F259" s="447">
        <v>0</v>
      </c>
    </row>
    <row r="260" spans="1:6" ht="14.95" customHeight="1" thickBot="1" x14ac:dyDescent="0.3">
      <c r="A260" s="373" t="s">
        <v>116</v>
      </c>
      <c r="B260" s="373" t="s">
        <v>92</v>
      </c>
      <c r="C260" s="385">
        <v>0</v>
      </c>
      <c r="D260" s="393" t="s">
        <v>725</v>
      </c>
      <c r="E260" s="393" t="s">
        <v>917</v>
      </c>
      <c r="F260" s="399">
        <v>0</v>
      </c>
    </row>
    <row r="261" spans="1:6" ht="14.95" customHeight="1" thickBot="1" x14ac:dyDescent="0.3">
      <c r="A261" s="381" t="s">
        <v>669</v>
      </c>
      <c r="B261" s="381" t="s">
        <v>89</v>
      </c>
      <c r="C261" s="385">
        <v>0</v>
      </c>
      <c r="D261" s="393" t="s">
        <v>655</v>
      </c>
      <c r="E261" s="393" t="s">
        <v>80</v>
      </c>
      <c r="F261" s="399">
        <v>0</v>
      </c>
    </row>
    <row r="262" spans="1:6" ht="14.95" customHeight="1" thickBot="1" x14ac:dyDescent="0.3">
      <c r="A262" s="373" t="s">
        <v>417</v>
      </c>
      <c r="B262" s="373" t="s">
        <v>322</v>
      </c>
      <c r="C262" s="385">
        <v>0</v>
      </c>
      <c r="D262" s="393" t="s">
        <v>800</v>
      </c>
      <c r="E262" s="393" t="s">
        <v>82</v>
      </c>
      <c r="F262" s="388">
        <v>0</v>
      </c>
    </row>
    <row r="263" spans="1:6" ht="14.95" customHeight="1" thickBot="1" x14ac:dyDescent="0.3">
      <c r="A263" s="373" t="s">
        <v>637</v>
      </c>
      <c r="B263" s="373" t="s">
        <v>92</v>
      </c>
      <c r="C263" s="385">
        <v>0</v>
      </c>
      <c r="D263" s="393" t="s">
        <v>788</v>
      </c>
      <c r="E263" s="393" t="s">
        <v>917</v>
      </c>
      <c r="F263" s="398">
        <v>0</v>
      </c>
    </row>
    <row r="264" spans="1:6" ht="14.95" customHeight="1" thickBot="1" x14ac:dyDescent="0.3">
      <c r="A264" s="373" t="s">
        <v>837</v>
      </c>
      <c r="B264" s="373" t="s">
        <v>90</v>
      </c>
      <c r="C264" s="385">
        <v>0</v>
      </c>
      <c r="D264" s="393" t="s">
        <v>414</v>
      </c>
      <c r="E264" s="393" t="s">
        <v>89</v>
      </c>
      <c r="F264" s="388">
        <v>0</v>
      </c>
    </row>
    <row r="265" spans="1:6" ht="14.95" customHeight="1" thickBot="1" x14ac:dyDescent="0.3">
      <c r="A265" s="373" t="s">
        <v>830</v>
      </c>
      <c r="B265" s="373" t="s">
        <v>322</v>
      </c>
      <c r="C265" s="385">
        <v>0</v>
      </c>
      <c r="D265" s="393" t="s">
        <v>287</v>
      </c>
      <c r="E265" s="393" t="s">
        <v>89</v>
      </c>
      <c r="F265" s="388">
        <v>0</v>
      </c>
    </row>
    <row r="266" spans="1:6" ht="14.95" customHeight="1" thickBot="1" x14ac:dyDescent="0.3">
      <c r="A266" s="381" t="s">
        <v>380</v>
      </c>
      <c r="B266" s="381" t="s">
        <v>89</v>
      </c>
      <c r="C266" s="385">
        <v>0</v>
      </c>
      <c r="D266" s="394" t="s">
        <v>701</v>
      </c>
      <c r="E266" s="394" t="s">
        <v>917</v>
      </c>
      <c r="F266" s="388">
        <v>0</v>
      </c>
    </row>
    <row r="267" spans="1:6" ht="14.95" customHeight="1" thickBot="1" x14ac:dyDescent="0.3">
      <c r="A267" s="373" t="s">
        <v>298</v>
      </c>
      <c r="B267" s="373" t="s">
        <v>92</v>
      </c>
      <c r="C267" s="385">
        <v>0</v>
      </c>
      <c r="D267" s="394" t="s">
        <v>623</v>
      </c>
      <c r="E267" s="394" t="s">
        <v>92</v>
      </c>
      <c r="F267" s="388">
        <v>0</v>
      </c>
    </row>
    <row r="268" spans="1:6" ht="14.95" customHeight="1" thickBot="1" x14ac:dyDescent="0.3">
      <c r="A268" s="373" t="s">
        <v>202</v>
      </c>
      <c r="B268" s="373" t="s">
        <v>80</v>
      </c>
      <c r="C268" s="385">
        <v>0</v>
      </c>
      <c r="D268" s="393" t="s">
        <v>624</v>
      </c>
      <c r="E268" s="393" t="s">
        <v>92</v>
      </c>
      <c r="F268" s="388">
        <v>0</v>
      </c>
    </row>
    <row r="269" spans="1:6" ht="14.95" customHeight="1" thickBot="1" x14ac:dyDescent="0.3">
      <c r="A269" s="373" t="s">
        <v>465</v>
      </c>
      <c r="B269" s="373" t="s">
        <v>82</v>
      </c>
      <c r="C269" s="385">
        <v>0</v>
      </c>
      <c r="D269" s="393" t="s">
        <v>750</v>
      </c>
      <c r="E269" s="393" t="s">
        <v>81</v>
      </c>
      <c r="F269" s="388">
        <v>0</v>
      </c>
    </row>
    <row r="270" spans="1:6" ht="14.95" customHeight="1" thickBot="1" x14ac:dyDescent="0.3">
      <c r="A270" s="373" t="s">
        <v>631</v>
      </c>
      <c r="B270" s="373" t="s">
        <v>92</v>
      </c>
      <c r="C270" s="387">
        <v>0</v>
      </c>
      <c r="D270" s="397" t="s">
        <v>578</v>
      </c>
      <c r="E270" s="397" t="s">
        <v>322</v>
      </c>
      <c r="F270" s="388">
        <v>0</v>
      </c>
    </row>
    <row r="271" spans="1:6" ht="14.95" customHeight="1" thickBot="1" x14ac:dyDescent="0.3">
      <c r="A271" s="373" t="s">
        <v>530</v>
      </c>
      <c r="B271" s="381" t="s">
        <v>544</v>
      </c>
      <c r="C271" s="387">
        <v>0</v>
      </c>
      <c r="D271" s="396" t="s">
        <v>727</v>
      </c>
      <c r="E271" s="396" t="s">
        <v>83</v>
      </c>
      <c r="F271" s="388">
        <v>0</v>
      </c>
    </row>
    <row r="272" spans="1:6" ht="14.95" customHeight="1" thickBot="1" x14ac:dyDescent="0.3">
      <c r="A272" s="373" t="s">
        <v>507</v>
      </c>
      <c r="B272" s="381" t="s">
        <v>544</v>
      </c>
      <c r="C272" s="387">
        <v>0</v>
      </c>
      <c r="D272" s="396" t="s">
        <v>116</v>
      </c>
      <c r="E272" s="396" t="s">
        <v>92</v>
      </c>
      <c r="F272" s="388">
        <v>0</v>
      </c>
    </row>
    <row r="273" spans="1:6" ht="14.95" customHeight="1" thickBot="1" x14ac:dyDescent="0.3">
      <c r="A273" s="381" t="s">
        <v>702</v>
      </c>
      <c r="B273" s="381" t="s">
        <v>917</v>
      </c>
      <c r="C273" s="387">
        <v>0</v>
      </c>
      <c r="D273" s="396" t="s">
        <v>669</v>
      </c>
      <c r="E273" s="396" t="s">
        <v>89</v>
      </c>
      <c r="F273" s="388">
        <v>0</v>
      </c>
    </row>
    <row r="274" spans="1:6" ht="14.95" customHeight="1" thickBot="1" x14ac:dyDescent="0.3">
      <c r="A274" s="373" t="s">
        <v>848</v>
      </c>
      <c r="B274" s="373" t="s">
        <v>90</v>
      </c>
      <c r="C274" s="387">
        <f>haydonwoodexepremcuptries</f>
        <v>0</v>
      </c>
      <c r="D274" s="396" t="s">
        <v>417</v>
      </c>
      <c r="E274" s="396" t="s">
        <v>322</v>
      </c>
      <c r="F274" s="388">
        <v>0</v>
      </c>
    </row>
    <row r="275" spans="1:6" ht="14.95" customHeight="1" thickBot="1" x14ac:dyDescent="0.3">
      <c r="A275" s="381" t="s">
        <v>411</v>
      </c>
      <c r="B275" s="381" t="s">
        <v>89</v>
      </c>
      <c r="C275" s="387">
        <v>0</v>
      </c>
      <c r="D275" s="396" t="s">
        <v>637</v>
      </c>
      <c r="E275" s="396" t="s">
        <v>92</v>
      </c>
      <c r="F275" s="388">
        <v>0</v>
      </c>
    </row>
    <row r="276" spans="1:6" ht="14.95" customHeight="1" thickBot="1" x14ac:dyDescent="0.3">
      <c r="A276" s="382" t="s">
        <v>1102</v>
      </c>
      <c r="B276" s="382" t="s">
        <v>90</v>
      </c>
      <c r="C276" s="387">
        <f>heavenexepremcuptries</f>
        <v>0</v>
      </c>
      <c r="D276" s="396" t="s">
        <v>837</v>
      </c>
      <c r="E276" s="396" t="s">
        <v>90</v>
      </c>
      <c r="F276" s="388">
        <v>0</v>
      </c>
    </row>
    <row r="277" spans="1:6" ht="14.95" customHeight="1" thickBot="1" x14ac:dyDescent="0.3">
      <c r="A277" s="375" t="s">
        <v>214</v>
      </c>
      <c r="B277" s="375" t="s">
        <v>544</v>
      </c>
      <c r="C277" s="385">
        <v>0</v>
      </c>
      <c r="D277" s="396" t="s">
        <v>830</v>
      </c>
      <c r="E277" s="396" t="s">
        <v>322</v>
      </c>
      <c r="F277" s="388">
        <v>0</v>
      </c>
    </row>
    <row r="278" spans="1:6" ht="14.95" customHeight="1" thickBot="1" x14ac:dyDescent="0.3">
      <c r="A278" s="382" t="s">
        <v>366</v>
      </c>
      <c r="B278" s="382" t="s">
        <v>83</v>
      </c>
      <c r="C278" s="385">
        <v>0</v>
      </c>
      <c r="D278" s="397" t="s">
        <v>380</v>
      </c>
      <c r="E278" s="397" t="s">
        <v>89</v>
      </c>
      <c r="F278" s="388">
        <v>0</v>
      </c>
    </row>
    <row r="279" spans="1:6" ht="14.95" customHeight="1" thickBot="1" x14ac:dyDescent="0.3">
      <c r="A279" s="382" t="s">
        <v>482</v>
      </c>
      <c r="B279" s="382" t="s">
        <v>92</v>
      </c>
      <c r="C279" s="385">
        <v>0</v>
      </c>
      <c r="D279" s="396" t="s">
        <v>298</v>
      </c>
      <c r="E279" s="396" t="s">
        <v>92</v>
      </c>
      <c r="F279" s="388">
        <v>0</v>
      </c>
    </row>
    <row r="280" spans="1:6" ht="14.95" customHeight="1" thickBot="1" x14ac:dyDescent="0.3">
      <c r="A280" s="382" t="s">
        <v>246</v>
      </c>
      <c r="B280" s="375" t="s">
        <v>544</v>
      </c>
      <c r="C280" s="385">
        <v>0</v>
      </c>
      <c r="D280" s="396" t="s">
        <v>202</v>
      </c>
      <c r="E280" s="396" t="s">
        <v>80</v>
      </c>
      <c r="F280" s="388">
        <v>0</v>
      </c>
    </row>
    <row r="281" spans="1:6" ht="14.95" customHeight="1" thickBot="1" x14ac:dyDescent="0.3">
      <c r="A281" s="382" t="s">
        <v>856</v>
      </c>
      <c r="B281" s="382" t="s">
        <v>89</v>
      </c>
      <c r="C281" s="385">
        <v>0</v>
      </c>
      <c r="D281" s="396" t="s">
        <v>465</v>
      </c>
      <c r="E281" s="396" t="s">
        <v>82</v>
      </c>
      <c r="F281" s="388">
        <v>0</v>
      </c>
    </row>
    <row r="282" spans="1:6" ht="14.95" customHeight="1" thickBot="1" x14ac:dyDescent="0.3">
      <c r="A282" s="382" t="s">
        <v>220</v>
      </c>
      <c r="B282" s="382" t="s">
        <v>90</v>
      </c>
      <c r="C282" s="385">
        <v>0</v>
      </c>
      <c r="D282" s="396" t="s">
        <v>631</v>
      </c>
      <c r="E282" s="396" t="s">
        <v>92</v>
      </c>
      <c r="F282" s="388">
        <v>0</v>
      </c>
    </row>
    <row r="283" spans="1:6" ht="14.95" customHeight="1" thickBot="1" x14ac:dyDescent="0.3">
      <c r="A283" s="382" t="s">
        <v>765</v>
      </c>
      <c r="B283" s="382" t="s">
        <v>322</v>
      </c>
      <c r="C283" s="385">
        <v>0</v>
      </c>
      <c r="D283" s="396" t="s">
        <v>530</v>
      </c>
      <c r="E283" s="396" t="s">
        <v>544</v>
      </c>
      <c r="F283" s="388">
        <v>0</v>
      </c>
    </row>
    <row r="284" spans="1:6" ht="14.95" customHeight="1" thickBot="1" x14ac:dyDescent="0.3">
      <c r="A284" s="382" t="s">
        <v>680</v>
      </c>
      <c r="B284" s="375" t="s">
        <v>544</v>
      </c>
      <c r="C284" s="386">
        <v>0</v>
      </c>
      <c r="D284" s="396" t="s">
        <v>507</v>
      </c>
      <c r="E284" s="396" t="s">
        <v>544</v>
      </c>
      <c r="F284" s="388">
        <v>0</v>
      </c>
    </row>
    <row r="285" spans="1:6" ht="14.95" customHeight="1" thickBot="1" x14ac:dyDescent="0.3">
      <c r="A285" s="375" t="s">
        <v>327</v>
      </c>
      <c r="B285" s="382" t="s">
        <v>83</v>
      </c>
      <c r="C285" s="444">
        <v>0</v>
      </c>
      <c r="D285" s="397" t="s">
        <v>702</v>
      </c>
      <c r="E285" s="397" t="s">
        <v>917</v>
      </c>
      <c r="F285" s="388">
        <v>0</v>
      </c>
    </row>
    <row r="286" spans="1:6" ht="14.95" customHeight="1" thickBot="1" x14ac:dyDescent="0.3">
      <c r="A286" s="382" t="s">
        <v>343</v>
      </c>
      <c r="B286" s="375" t="s">
        <v>544</v>
      </c>
      <c r="C286" s="385">
        <v>0</v>
      </c>
      <c r="D286" s="397" t="s">
        <v>411</v>
      </c>
      <c r="E286" s="397" t="s">
        <v>89</v>
      </c>
      <c r="F286" s="388">
        <v>0</v>
      </c>
    </row>
    <row r="287" spans="1:6" ht="14.95" customHeight="1" thickBot="1" x14ac:dyDescent="0.3">
      <c r="A287" s="382" t="s">
        <v>117</v>
      </c>
      <c r="B287" s="382" t="s">
        <v>83</v>
      </c>
      <c r="C287" s="385">
        <v>0</v>
      </c>
      <c r="D287" s="396" t="s">
        <v>1102</v>
      </c>
      <c r="E287" s="396" t="s">
        <v>90</v>
      </c>
      <c r="F287" s="388">
        <f>heavenexepremcuppts</f>
        <v>0</v>
      </c>
    </row>
    <row r="288" spans="1:6" ht="14.95" customHeight="1" thickBot="1" x14ac:dyDescent="0.3">
      <c r="A288" s="382" t="s">
        <v>470</v>
      </c>
      <c r="B288" s="382" t="s">
        <v>92</v>
      </c>
      <c r="C288" s="385">
        <v>0</v>
      </c>
      <c r="D288" s="397" t="s">
        <v>214</v>
      </c>
      <c r="E288" s="397" t="s">
        <v>544</v>
      </c>
      <c r="F288" s="388">
        <v>0</v>
      </c>
    </row>
    <row r="289" spans="1:6" ht="14.95" customHeight="1" thickBot="1" x14ac:dyDescent="0.3">
      <c r="A289" s="382" t="s">
        <v>341</v>
      </c>
      <c r="B289" s="382" t="s">
        <v>90</v>
      </c>
      <c r="C289" s="385">
        <v>0</v>
      </c>
      <c r="D289" s="396" t="s">
        <v>366</v>
      </c>
      <c r="E289" s="396" t="s">
        <v>83</v>
      </c>
      <c r="F289" s="388">
        <v>0</v>
      </c>
    </row>
    <row r="290" spans="1:6" ht="14.95" customHeight="1" thickBot="1" x14ac:dyDescent="0.3">
      <c r="A290" s="382" t="s">
        <v>793</v>
      </c>
      <c r="B290" s="382" t="s">
        <v>89</v>
      </c>
      <c r="C290" s="386">
        <v>0</v>
      </c>
      <c r="D290" s="396" t="s">
        <v>482</v>
      </c>
      <c r="E290" s="396" t="s">
        <v>92</v>
      </c>
      <c r="F290" s="388">
        <v>0</v>
      </c>
    </row>
    <row r="291" spans="1:6" ht="14.95" customHeight="1" thickBot="1" x14ac:dyDescent="0.3">
      <c r="A291" s="382" t="s">
        <v>268</v>
      </c>
      <c r="B291" s="382" t="s">
        <v>322</v>
      </c>
      <c r="C291" s="385">
        <v>0</v>
      </c>
      <c r="D291" s="396" t="s">
        <v>246</v>
      </c>
      <c r="E291" s="396" t="s">
        <v>544</v>
      </c>
      <c r="F291" s="388">
        <v>0</v>
      </c>
    </row>
    <row r="292" spans="1:6" ht="14.95" customHeight="1" thickBot="1" x14ac:dyDescent="0.3">
      <c r="A292" s="382" t="s">
        <v>328</v>
      </c>
      <c r="B292" s="382" t="s">
        <v>322</v>
      </c>
      <c r="C292" s="385">
        <v>0</v>
      </c>
      <c r="D292" s="396" t="s">
        <v>856</v>
      </c>
      <c r="E292" s="396" t="s">
        <v>89</v>
      </c>
      <c r="F292" s="388">
        <v>0</v>
      </c>
    </row>
    <row r="293" spans="1:6" ht="14.95" customHeight="1" thickBot="1" x14ac:dyDescent="0.3">
      <c r="A293" s="382" t="s">
        <v>595</v>
      </c>
      <c r="B293" s="382" t="s">
        <v>83</v>
      </c>
      <c r="C293" s="385">
        <v>0</v>
      </c>
      <c r="D293" s="396" t="s">
        <v>220</v>
      </c>
      <c r="E293" s="396" t="s">
        <v>90</v>
      </c>
      <c r="F293" s="388">
        <v>0</v>
      </c>
    </row>
    <row r="294" spans="1:6" ht="14.95" customHeight="1" thickBot="1" x14ac:dyDescent="0.3">
      <c r="A294" s="382" t="s">
        <v>72</v>
      </c>
      <c r="B294" s="382" t="s">
        <v>81</v>
      </c>
      <c r="C294" s="385">
        <v>0</v>
      </c>
      <c r="D294" s="396" t="s">
        <v>765</v>
      </c>
      <c r="E294" s="396" t="s">
        <v>322</v>
      </c>
      <c r="F294" s="388">
        <v>0</v>
      </c>
    </row>
    <row r="295" spans="1:6" ht="14.95" customHeight="1" thickBot="1" x14ac:dyDescent="0.3">
      <c r="A295" s="382" t="s">
        <v>272</v>
      </c>
      <c r="B295" s="382" t="s">
        <v>83</v>
      </c>
      <c r="C295" s="385">
        <v>0</v>
      </c>
      <c r="D295" s="396" t="s">
        <v>680</v>
      </c>
      <c r="E295" s="396" t="s">
        <v>544</v>
      </c>
      <c r="F295" s="388">
        <v>0</v>
      </c>
    </row>
    <row r="296" spans="1:6" ht="14.95" customHeight="1" thickBot="1" x14ac:dyDescent="0.3">
      <c r="A296" s="382" t="s">
        <v>575</v>
      </c>
      <c r="B296" s="382" t="s">
        <v>92</v>
      </c>
      <c r="C296" s="385">
        <v>0</v>
      </c>
      <c r="D296" s="397" t="s">
        <v>327</v>
      </c>
      <c r="E296" s="396" t="s">
        <v>83</v>
      </c>
      <c r="F296" s="388">
        <v>0</v>
      </c>
    </row>
    <row r="297" spans="1:6" ht="14.95" customHeight="1" thickBot="1" x14ac:dyDescent="0.3">
      <c r="A297" s="382" t="s">
        <v>462</v>
      </c>
      <c r="B297" s="382" t="s">
        <v>90</v>
      </c>
      <c r="C297" s="385">
        <v>0</v>
      </c>
      <c r="D297" s="396" t="s">
        <v>343</v>
      </c>
      <c r="E297" s="396" t="s">
        <v>544</v>
      </c>
      <c r="F297" s="388">
        <v>0</v>
      </c>
    </row>
    <row r="298" spans="1:6" ht="14.95" customHeight="1" thickBot="1" x14ac:dyDescent="0.3">
      <c r="A298" s="382" t="s">
        <v>461</v>
      </c>
      <c r="B298" s="382" t="s">
        <v>90</v>
      </c>
      <c r="C298" s="385">
        <v>0</v>
      </c>
      <c r="D298" s="396" t="s">
        <v>117</v>
      </c>
      <c r="E298" s="396" t="s">
        <v>83</v>
      </c>
      <c r="F298" s="388">
        <v>0</v>
      </c>
    </row>
    <row r="299" spans="1:6" ht="14.95" customHeight="1" thickBot="1" x14ac:dyDescent="0.3">
      <c r="A299" s="382" t="s">
        <v>633</v>
      </c>
      <c r="B299" s="382" t="s">
        <v>92</v>
      </c>
      <c r="C299" s="385">
        <v>0</v>
      </c>
      <c r="D299" s="396" t="s">
        <v>470</v>
      </c>
      <c r="E299" s="396" t="s">
        <v>92</v>
      </c>
      <c r="F299" s="388">
        <v>0</v>
      </c>
    </row>
    <row r="300" spans="1:6" ht="14.95" customHeight="1" thickBot="1" x14ac:dyDescent="0.3">
      <c r="A300" s="382" t="s">
        <v>429</v>
      </c>
      <c r="B300" s="382" t="s">
        <v>89</v>
      </c>
      <c r="C300" s="385">
        <v>0</v>
      </c>
      <c r="D300" s="396" t="s">
        <v>341</v>
      </c>
      <c r="E300" s="396" t="s">
        <v>90</v>
      </c>
      <c r="F300" s="388">
        <v>0</v>
      </c>
    </row>
    <row r="301" spans="1:6" ht="14.95" customHeight="1" thickBot="1" x14ac:dyDescent="0.3">
      <c r="A301" s="382" t="s">
        <v>761</v>
      </c>
      <c r="B301" s="382" t="s">
        <v>322</v>
      </c>
      <c r="C301" s="385">
        <f>johnsonsarpremcuptries</f>
        <v>0</v>
      </c>
      <c r="D301" s="396" t="s">
        <v>793</v>
      </c>
      <c r="E301" s="396" t="s">
        <v>89</v>
      </c>
      <c r="F301" s="388">
        <v>0</v>
      </c>
    </row>
    <row r="302" spans="1:6" ht="14.95" customHeight="1" thickBot="1" x14ac:dyDescent="0.3">
      <c r="A302" s="382" t="s">
        <v>660</v>
      </c>
      <c r="B302" s="382" t="s">
        <v>80</v>
      </c>
      <c r="C302" s="385">
        <v>0</v>
      </c>
      <c r="D302" s="396" t="s">
        <v>268</v>
      </c>
      <c r="E302" s="396" t="s">
        <v>322</v>
      </c>
      <c r="F302" s="388">
        <v>0</v>
      </c>
    </row>
    <row r="303" spans="1:6" ht="14.95" customHeight="1" thickBot="1" x14ac:dyDescent="0.3">
      <c r="A303" s="382" t="s">
        <v>670</v>
      </c>
      <c r="B303" s="382" t="s">
        <v>89</v>
      </c>
      <c r="C303" s="385">
        <v>0</v>
      </c>
      <c r="D303" s="396" t="s">
        <v>328</v>
      </c>
      <c r="E303" s="396" t="s">
        <v>322</v>
      </c>
      <c r="F303" s="388">
        <v>0</v>
      </c>
    </row>
    <row r="304" spans="1:6" ht="14.95" customHeight="1" thickBot="1" x14ac:dyDescent="0.3">
      <c r="A304" s="382" t="s">
        <v>375</v>
      </c>
      <c r="B304" s="382" t="s">
        <v>80</v>
      </c>
      <c r="C304" s="385">
        <v>0</v>
      </c>
      <c r="D304" s="396" t="s">
        <v>595</v>
      </c>
      <c r="E304" s="396" t="s">
        <v>83</v>
      </c>
      <c r="F304" s="388">
        <v>0</v>
      </c>
    </row>
    <row r="305" spans="1:6" ht="14.95" customHeight="1" thickBot="1" x14ac:dyDescent="0.3">
      <c r="A305" s="375" t="s">
        <v>358</v>
      </c>
      <c r="B305" s="375" t="s">
        <v>89</v>
      </c>
      <c r="C305" s="385">
        <v>0</v>
      </c>
      <c r="D305" s="396" t="s">
        <v>72</v>
      </c>
      <c r="E305" s="396" t="s">
        <v>81</v>
      </c>
      <c r="F305" s="388">
        <v>0</v>
      </c>
    </row>
    <row r="306" spans="1:6" ht="14.95" customHeight="1" thickBot="1" x14ac:dyDescent="0.3">
      <c r="A306" s="382" t="s">
        <v>410</v>
      </c>
      <c r="B306" s="375" t="s">
        <v>544</v>
      </c>
      <c r="C306" s="385">
        <v>0</v>
      </c>
      <c r="D306" s="396" t="s">
        <v>272</v>
      </c>
      <c r="E306" s="396" t="s">
        <v>83</v>
      </c>
      <c r="F306" s="388">
        <v>0</v>
      </c>
    </row>
    <row r="307" spans="1:6" ht="14.95" customHeight="1" thickBot="1" x14ac:dyDescent="0.3">
      <c r="A307" s="382" t="s">
        <v>160</v>
      </c>
      <c r="B307" s="382" t="s">
        <v>90</v>
      </c>
      <c r="C307" s="385">
        <v>0</v>
      </c>
      <c r="D307" s="396" t="s">
        <v>575</v>
      </c>
      <c r="E307" s="396" t="s">
        <v>92</v>
      </c>
      <c r="F307" s="388">
        <v>0</v>
      </c>
    </row>
    <row r="308" spans="1:6" ht="14.95" customHeight="1" thickBot="1" x14ac:dyDescent="0.3">
      <c r="A308" s="375" t="s">
        <v>274</v>
      </c>
      <c r="B308" s="375" t="s">
        <v>544</v>
      </c>
      <c r="C308" s="385">
        <v>0</v>
      </c>
      <c r="D308" s="396" t="s">
        <v>462</v>
      </c>
      <c r="E308" s="396" t="s">
        <v>90</v>
      </c>
      <c r="F308" s="388">
        <v>0</v>
      </c>
    </row>
    <row r="309" spans="1:6" ht="14.95" customHeight="1" thickBot="1" x14ac:dyDescent="0.3">
      <c r="A309" s="375" t="s">
        <v>703</v>
      </c>
      <c r="B309" s="375" t="s">
        <v>917</v>
      </c>
      <c r="C309" s="385">
        <v>0</v>
      </c>
      <c r="D309" s="396" t="s">
        <v>461</v>
      </c>
      <c r="E309" s="396" t="s">
        <v>90</v>
      </c>
      <c r="F309" s="388">
        <v>0</v>
      </c>
    </row>
    <row r="310" spans="1:6" ht="14.95" customHeight="1" thickBot="1" x14ac:dyDescent="0.3">
      <c r="A310" s="373" t="s">
        <v>853</v>
      </c>
      <c r="B310" s="382" t="s">
        <v>81</v>
      </c>
      <c r="C310" s="385">
        <v>0</v>
      </c>
      <c r="D310" s="396" t="s">
        <v>633</v>
      </c>
      <c r="E310" s="396" t="s">
        <v>92</v>
      </c>
      <c r="F310" s="388">
        <v>0</v>
      </c>
    </row>
    <row r="311" spans="1:6" ht="14.95" customHeight="1" thickBot="1" x14ac:dyDescent="0.3">
      <c r="A311" s="373" t="s">
        <v>786</v>
      </c>
      <c r="B311" s="382" t="s">
        <v>83</v>
      </c>
      <c r="C311" s="385">
        <v>0</v>
      </c>
      <c r="D311" s="396" t="s">
        <v>429</v>
      </c>
      <c r="E311" s="396" t="s">
        <v>89</v>
      </c>
      <c r="F311" s="388">
        <v>0</v>
      </c>
    </row>
    <row r="312" spans="1:6" ht="14.95" customHeight="1" thickBot="1" x14ac:dyDescent="0.3">
      <c r="A312" s="382" t="s">
        <v>303</v>
      </c>
      <c r="B312" s="382" t="s">
        <v>89</v>
      </c>
      <c r="C312" s="385">
        <v>0</v>
      </c>
      <c r="D312" s="396" t="s">
        <v>660</v>
      </c>
      <c r="E312" s="396" t="s">
        <v>80</v>
      </c>
      <c r="F312" s="388">
        <v>0</v>
      </c>
    </row>
    <row r="313" spans="1:6" ht="14.95" customHeight="1" thickBot="1" x14ac:dyDescent="0.3">
      <c r="A313" s="382" t="s">
        <v>919</v>
      </c>
      <c r="B313" s="382" t="s">
        <v>89</v>
      </c>
      <c r="C313" s="385">
        <f>kerrharpremcuptries</f>
        <v>0</v>
      </c>
      <c r="D313" s="396" t="s">
        <v>670</v>
      </c>
      <c r="E313" s="396" t="s">
        <v>89</v>
      </c>
      <c r="F313" s="388">
        <v>0</v>
      </c>
    </row>
    <row r="314" spans="1:6" ht="14.95" customHeight="1" thickBot="1" x14ac:dyDescent="0.3">
      <c r="A314" s="382" t="s">
        <v>119</v>
      </c>
      <c r="B314" s="382" t="s">
        <v>89</v>
      </c>
      <c r="C314" s="385">
        <v>0</v>
      </c>
      <c r="D314" s="396" t="s">
        <v>375</v>
      </c>
      <c r="E314" s="396" t="s">
        <v>80</v>
      </c>
      <c r="F314" s="388">
        <v>0</v>
      </c>
    </row>
    <row r="315" spans="1:6" ht="14.95" customHeight="1" thickBot="1" x14ac:dyDescent="0.3">
      <c r="A315" s="382" t="s">
        <v>686</v>
      </c>
      <c r="B315" s="375" t="s">
        <v>544</v>
      </c>
      <c r="C315" s="385">
        <v>0</v>
      </c>
      <c r="D315" s="397" t="s">
        <v>358</v>
      </c>
      <c r="E315" s="397" t="s">
        <v>89</v>
      </c>
      <c r="F315" s="388">
        <v>0</v>
      </c>
    </row>
    <row r="316" spans="1:6" ht="14.95" customHeight="1" thickBot="1" x14ac:dyDescent="0.3">
      <c r="A316" s="375" t="s">
        <v>871</v>
      </c>
      <c r="B316" s="375" t="s">
        <v>82</v>
      </c>
      <c r="C316" s="385">
        <v>0</v>
      </c>
      <c r="D316" s="396" t="s">
        <v>410</v>
      </c>
      <c r="E316" s="396" t="s">
        <v>544</v>
      </c>
      <c r="F316" s="388">
        <v>0</v>
      </c>
    </row>
    <row r="317" spans="1:6" ht="14.95" customHeight="1" thickBot="1" x14ac:dyDescent="0.3">
      <c r="A317" s="382" t="s">
        <v>276</v>
      </c>
      <c r="B317" s="382" t="s">
        <v>92</v>
      </c>
      <c r="C317" s="385">
        <v>0</v>
      </c>
      <c r="D317" s="396" t="s">
        <v>160</v>
      </c>
      <c r="E317" s="396" t="s">
        <v>90</v>
      </c>
      <c r="F317" s="388">
        <v>0</v>
      </c>
    </row>
    <row r="318" spans="1:6" ht="14.95" customHeight="1" thickBot="1" x14ac:dyDescent="0.3">
      <c r="A318" s="382" t="s">
        <v>468</v>
      </c>
      <c r="B318" s="382" t="s">
        <v>322</v>
      </c>
      <c r="C318" s="385">
        <v>0</v>
      </c>
      <c r="D318" s="396" t="s">
        <v>274</v>
      </c>
      <c r="E318" s="396" t="s">
        <v>544</v>
      </c>
      <c r="F318" s="391">
        <v>0</v>
      </c>
    </row>
    <row r="319" spans="1:6" ht="14.95" customHeight="1" thickBot="1" x14ac:dyDescent="0.3">
      <c r="A319" s="382" t="s">
        <v>236</v>
      </c>
      <c r="B319" s="382" t="s">
        <v>92</v>
      </c>
      <c r="C319" s="385">
        <v>0</v>
      </c>
      <c r="D319" s="396" t="s">
        <v>703</v>
      </c>
      <c r="E319" s="396" t="s">
        <v>917</v>
      </c>
      <c r="F319" s="388">
        <v>0</v>
      </c>
    </row>
    <row r="320" spans="1:6" ht="14.95" customHeight="1" thickBot="1" x14ac:dyDescent="0.3">
      <c r="A320" s="382" t="s">
        <v>120</v>
      </c>
      <c r="B320" s="382" t="s">
        <v>89</v>
      </c>
      <c r="C320" s="385">
        <v>0</v>
      </c>
      <c r="D320" s="396" t="s">
        <v>853</v>
      </c>
      <c r="E320" s="396" t="s">
        <v>81</v>
      </c>
      <c r="F320" s="388">
        <v>0</v>
      </c>
    </row>
    <row r="321" spans="1:6" ht="14.95" customHeight="1" thickBot="1" x14ac:dyDescent="0.3">
      <c r="A321" s="382" t="s">
        <v>671</v>
      </c>
      <c r="B321" s="382" t="s">
        <v>89</v>
      </c>
      <c r="C321" s="385">
        <v>0</v>
      </c>
      <c r="D321" s="396" t="s">
        <v>786</v>
      </c>
      <c r="E321" s="396" t="s">
        <v>83</v>
      </c>
      <c r="F321" s="388">
        <v>0</v>
      </c>
    </row>
    <row r="322" spans="1:6" ht="14.95" customHeight="1" thickBot="1" x14ac:dyDescent="0.3">
      <c r="A322" s="382" t="s">
        <v>391</v>
      </c>
      <c r="B322" s="382" t="s">
        <v>92</v>
      </c>
      <c r="C322" s="385">
        <v>0</v>
      </c>
      <c r="D322" s="396" t="s">
        <v>303</v>
      </c>
      <c r="E322" s="396" t="s">
        <v>89</v>
      </c>
      <c r="F322" s="388">
        <v>0</v>
      </c>
    </row>
    <row r="323" spans="1:6" ht="14.95" customHeight="1" thickBot="1" x14ac:dyDescent="0.3">
      <c r="A323" s="382" t="s">
        <v>728</v>
      </c>
      <c r="B323" s="382" t="s">
        <v>83</v>
      </c>
      <c r="C323" s="385">
        <v>0</v>
      </c>
      <c r="D323" s="396" t="s">
        <v>119</v>
      </c>
      <c r="E323" s="396" t="s">
        <v>89</v>
      </c>
      <c r="F323" s="388">
        <v>0</v>
      </c>
    </row>
    <row r="324" spans="1:6" ht="14.95" customHeight="1" thickBot="1" x14ac:dyDescent="0.3">
      <c r="A324" s="375" t="s">
        <v>729</v>
      </c>
      <c r="B324" s="382" t="s">
        <v>83</v>
      </c>
      <c r="C324" s="385">
        <v>0</v>
      </c>
      <c r="D324" s="396" t="s">
        <v>686</v>
      </c>
      <c r="E324" s="396" t="s">
        <v>544</v>
      </c>
      <c r="F324" s="388">
        <v>0</v>
      </c>
    </row>
    <row r="325" spans="1:6" ht="14.95" customHeight="1" thickBot="1" x14ac:dyDescent="0.3">
      <c r="A325" s="382" t="s">
        <v>121</v>
      </c>
      <c r="B325" s="382" t="s">
        <v>89</v>
      </c>
      <c r="C325" s="385">
        <v>0</v>
      </c>
      <c r="D325" s="396" t="s">
        <v>871</v>
      </c>
      <c r="E325" s="396" t="s">
        <v>82</v>
      </c>
      <c r="F325" s="388">
        <v>0</v>
      </c>
    </row>
    <row r="326" spans="1:6" ht="14.95" customHeight="1" thickBot="1" x14ac:dyDescent="0.3">
      <c r="A326" s="382" t="s">
        <v>865</v>
      </c>
      <c r="B326" s="382" t="s">
        <v>82</v>
      </c>
      <c r="C326" s="385">
        <v>0</v>
      </c>
      <c r="D326" s="396" t="s">
        <v>276</v>
      </c>
      <c r="E326" s="396" t="s">
        <v>92</v>
      </c>
      <c r="F326" s="388">
        <v>0</v>
      </c>
    </row>
    <row r="327" spans="1:6" ht="14.95" customHeight="1" thickBot="1" x14ac:dyDescent="0.3">
      <c r="A327" s="382" t="s">
        <v>704</v>
      </c>
      <c r="B327" s="382" t="s">
        <v>917</v>
      </c>
      <c r="C327" s="385">
        <v>0</v>
      </c>
      <c r="D327" s="396" t="s">
        <v>468</v>
      </c>
      <c r="E327" s="396" t="s">
        <v>322</v>
      </c>
      <c r="F327" s="388">
        <v>0</v>
      </c>
    </row>
    <row r="328" spans="1:6" ht="14.95" customHeight="1" thickBot="1" x14ac:dyDescent="0.3">
      <c r="A328" s="382" t="s">
        <v>834</v>
      </c>
      <c r="B328" s="382" t="s">
        <v>92</v>
      </c>
      <c r="C328" s="385">
        <v>0</v>
      </c>
      <c r="D328" s="396" t="s">
        <v>236</v>
      </c>
      <c r="E328" s="396" t="s">
        <v>92</v>
      </c>
      <c r="F328" s="388">
        <v>0</v>
      </c>
    </row>
    <row r="329" spans="1:6" ht="14.95" customHeight="1" thickBot="1" x14ac:dyDescent="0.3">
      <c r="A329" s="382" t="s">
        <v>204</v>
      </c>
      <c r="B329" s="382" t="s">
        <v>89</v>
      </c>
      <c r="C329" s="385">
        <v>0</v>
      </c>
      <c r="D329" s="396" t="s">
        <v>120</v>
      </c>
      <c r="E329" s="396" t="s">
        <v>89</v>
      </c>
      <c r="F329" s="388">
        <v>0</v>
      </c>
    </row>
    <row r="330" spans="1:6" ht="14.95" customHeight="1" thickBot="1" x14ac:dyDescent="0.3">
      <c r="A330" s="382" t="s">
        <v>562</v>
      </c>
      <c r="B330" s="382" t="s">
        <v>89</v>
      </c>
      <c r="C330" s="385">
        <v>0</v>
      </c>
      <c r="D330" s="396" t="s">
        <v>671</v>
      </c>
      <c r="E330" s="396" t="s">
        <v>89</v>
      </c>
      <c r="F330" s="388">
        <v>0</v>
      </c>
    </row>
    <row r="331" spans="1:6" ht="14.95" customHeight="1" thickBot="1" x14ac:dyDescent="0.3">
      <c r="A331" s="375" t="s">
        <v>216</v>
      </c>
      <c r="B331" s="375" t="s">
        <v>544</v>
      </c>
      <c r="C331" s="385">
        <v>0</v>
      </c>
      <c r="D331" s="396" t="s">
        <v>391</v>
      </c>
      <c r="E331" s="396" t="s">
        <v>92</v>
      </c>
      <c r="F331" s="388">
        <v>0</v>
      </c>
    </row>
    <row r="332" spans="1:6" ht="14.95" customHeight="1" thickBot="1" x14ac:dyDescent="0.3">
      <c r="A332" s="382" t="s">
        <v>1004</v>
      </c>
      <c r="B332" s="382" t="s">
        <v>82</v>
      </c>
      <c r="C332" s="385">
        <f>linegarbthpremcuptries</f>
        <v>0</v>
      </c>
      <c r="D332" s="396" t="s">
        <v>512</v>
      </c>
      <c r="E332" s="396" t="s">
        <v>83</v>
      </c>
      <c r="F332" s="388">
        <v>0</v>
      </c>
    </row>
    <row r="333" spans="1:6" ht="14.95" customHeight="1" thickBot="1" x14ac:dyDescent="0.3">
      <c r="A333" s="382" t="s">
        <v>365</v>
      </c>
      <c r="B333" s="382" t="s">
        <v>83</v>
      </c>
      <c r="C333" s="385">
        <v>0</v>
      </c>
      <c r="D333" s="397" t="s">
        <v>729</v>
      </c>
      <c r="E333" s="396" t="s">
        <v>83</v>
      </c>
      <c r="F333" s="388">
        <v>0</v>
      </c>
    </row>
    <row r="334" spans="1:6" ht="14.95" customHeight="1" thickBot="1" x14ac:dyDescent="0.3">
      <c r="A334" s="382" t="s">
        <v>453</v>
      </c>
      <c r="B334" s="382" t="s">
        <v>83</v>
      </c>
      <c r="C334" s="385">
        <v>0</v>
      </c>
      <c r="D334" s="396" t="s">
        <v>121</v>
      </c>
      <c r="E334" s="396" t="s">
        <v>89</v>
      </c>
      <c r="F334" s="391">
        <v>0</v>
      </c>
    </row>
    <row r="335" spans="1:6" ht="14.95" customHeight="1" thickBot="1" x14ac:dyDescent="0.3">
      <c r="A335" s="382" t="s">
        <v>123</v>
      </c>
      <c r="B335" s="382" t="s">
        <v>92</v>
      </c>
      <c r="C335" s="385">
        <v>0</v>
      </c>
      <c r="D335" s="396" t="s">
        <v>865</v>
      </c>
      <c r="E335" s="396" t="s">
        <v>82</v>
      </c>
      <c r="F335" s="388">
        <v>0</v>
      </c>
    </row>
    <row r="336" spans="1:6" ht="14.95" customHeight="1" thickBot="1" x14ac:dyDescent="0.3">
      <c r="A336" s="382" t="s">
        <v>741</v>
      </c>
      <c r="B336" s="382" t="s">
        <v>81</v>
      </c>
      <c r="C336" s="385">
        <v>0</v>
      </c>
      <c r="D336" s="396" t="s">
        <v>704</v>
      </c>
      <c r="E336" s="396" t="s">
        <v>917</v>
      </c>
      <c r="F336" s="388">
        <v>0</v>
      </c>
    </row>
    <row r="337" spans="1:6" ht="14.95" customHeight="1" thickBot="1" x14ac:dyDescent="0.3">
      <c r="A337" s="382" t="s">
        <v>731</v>
      </c>
      <c r="B337" s="382" t="s">
        <v>83</v>
      </c>
      <c r="C337" s="385">
        <v>0</v>
      </c>
      <c r="D337" s="396" t="s">
        <v>834</v>
      </c>
      <c r="E337" s="396" t="s">
        <v>92</v>
      </c>
      <c r="F337" s="388">
        <v>0</v>
      </c>
    </row>
    <row r="338" spans="1:6" ht="14.95" customHeight="1" thickBot="1" x14ac:dyDescent="0.3">
      <c r="A338" s="382" t="s">
        <v>687</v>
      </c>
      <c r="B338" s="375" t="s">
        <v>544</v>
      </c>
      <c r="C338" s="385">
        <v>0</v>
      </c>
      <c r="D338" s="396" t="s">
        <v>204</v>
      </c>
      <c r="E338" s="396" t="s">
        <v>89</v>
      </c>
      <c r="F338" s="388">
        <v>0</v>
      </c>
    </row>
    <row r="339" spans="1:6" ht="14.95" customHeight="1" thickBot="1" x14ac:dyDescent="0.3">
      <c r="A339" s="382" t="s">
        <v>810</v>
      </c>
      <c r="B339" s="382" t="s">
        <v>92</v>
      </c>
      <c r="C339" s="385">
        <v>0</v>
      </c>
      <c r="D339" s="396" t="s">
        <v>562</v>
      </c>
      <c r="E339" s="396" t="s">
        <v>89</v>
      </c>
      <c r="F339" s="391">
        <v>0</v>
      </c>
    </row>
    <row r="340" spans="1:6" ht="14.95" customHeight="1" thickBot="1" x14ac:dyDescent="0.3">
      <c r="A340" s="382" t="s">
        <v>614</v>
      </c>
      <c r="B340" s="382" t="s">
        <v>92</v>
      </c>
      <c r="C340" s="385">
        <v>0</v>
      </c>
      <c r="D340" s="397" t="s">
        <v>216</v>
      </c>
      <c r="E340" s="397" t="s">
        <v>544</v>
      </c>
      <c r="F340" s="388">
        <v>0</v>
      </c>
    </row>
    <row r="341" spans="1:6" ht="14.95" customHeight="1" thickBot="1" x14ac:dyDescent="0.3">
      <c r="A341" s="382" t="s">
        <v>406</v>
      </c>
      <c r="B341" s="382" t="s">
        <v>90</v>
      </c>
      <c r="C341" s="385">
        <v>0</v>
      </c>
      <c r="D341" s="396" t="s">
        <v>365</v>
      </c>
      <c r="E341" s="396" t="s">
        <v>83</v>
      </c>
      <c r="F341" s="388">
        <v>0</v>
      </c>
    </row>
    <row r="342" spans="1:6" ht="14.95" customHeight="1" thickBot="1" x14ac:dyDescent="0.3">
      <c r="A342" s="382" t="s">
        <v>330</v>
      </c>
      <c r="B342" s="382" t="s">
        <v>322</v>
      </c>
      <c r="C342" s="385">
        <v>0</v>
      </c>
      <c r="D342" s="396" t="s">
        <v>453</v>
      </c>
      <c r="E342" s="396" t="s">
        <v>83</v>
      </c>
      <c r="F342" s="388">
        <v>0</v>
      </c>
    </row>
    <row r="343" spans="1:6" ht="14.95" customHeight="1" thickBot="1" x14ac:dyDescent="0.3">
      <c r="A343" s="382" t="s">
        <v>732</v>
      </c>
      <c r="B343" s="382" t="s">
        <v>83</v>
      </c>
      <c r="C343" s="385">
        <v>0</v>
      </c>
      <c r="D343" s="396" t="s">
        <v>123</v>
      </c>
      <c r="E343" s="396" t="s">
        <v>92</v>
      </c>
      <c r="F343" s="388">
        <v>0</v>
      </c>
    </row>
    <row r="344" spans="1:6" ht="14.95" customHeight="1" thickBot="1" x14ac:dyDescent="0.3">
      <c r="A344" s="382" t="s">
        <v>662</v>
      </c>
      <c r="B344" s="382" t="s">
        <v>80</v>
      </c>
      <c r="C344" s="385">
        <v>0</v>
      </c>
      <c r="D344" s="396" t="s">
        <v>741</v>
      </c>
      <c r="E344" s="396" t="s">
        <v>81</v>
      </c>
      <c r="F344" s="388">
        <v>0</v>
      </c>
    </row>
    <row r="345" spans="1:6" ht="14.95" customHeight="1" thickBot="1" x14ac:dyDescent="0.3">
      <c r="A345" s="382" t="s">
        <v>331</v>
      </c>
      <c r="B345" s="382" t="s">
        <v>322</v>
      </c>
      <c r="C345" s="385">
        <v>0</v>
      </c>
      <c r="D345" s="396" t="s">
        <v>731</v>
      </c>
      <c r="E345" s="396" t="s">
        <v>83</v>
      </c>
      <c r="F345" s="388">
        <v>0</v>
      </c>
    </row>
    <row r="346" spans="1:6" ht="14.95" customHeight="1" thickBot="1" x14ac:dyDescent="0.3">
      <c r="A346" s="382" t="s">
        <v>412</v>
      </c>
      <c r="B346" s="382" t="s">
        <v>92</v>
      </c>
      <c r="C346" s="385">
        <f>macgintybripremcuptries</f>
        <v>0</v>
      </c>
      <c r="D346" s="396" t="s">
        <v>687</v>
      </c>
      <c r="E346" s="396" t="s">
        <v>544</v>
      </c>
      <c r="F346" s="388">
        <v>0</v>
      </c>
    </row>
    <row r="347" spans="1:6" ht="14.95" customHeight="1" thickBot="1" x14ac:dyDescent="0.3">
      <c r="A347" s="382" t="s">
        <v>254</v>
      </c>
      <c r="B347" s="382" t="s">
        <v>80</v>
      </c>
      <c r="C347" s="386">
        <v>0</v>
      </c>
      <c r="D347" s="397" t="s">
        <v>810</v>
      </c>
      <c r="E347" s="397" t="s">
        <v>92</v>
      </c>
      <c r="F347" s="388">
        <v>0</v>
      </c>
    </row>
    <row r="348" spans="1:6" ht="14.95" customHeight="1" thickBot="1" x14ac:dyDescent="0.3">
      <c r="A348" s="382" t="s">
        <v>477</v>
      </c>
      <c r="B348" s="382" t="s">
        <v>81</v>
      </c>
      <c r="C348" s="385">
        <v>0</v>
      </c>
      <c r="D348" s="396" t="s">
        <v>614</v>
      </c>
      <c r="E348" s="396" t="s">
        <v>92</v>
      </c>
      <c r="F348" s="388">
        <v>0</v>
      </c>
    </row>
    <row r="349" spans="1:6" ht="14.95" customHeight="1" thickBot="1" x14ac:dyDescent="0.3">
      <c r="A349" s="382" t="s">
        <v>778</v>
      </c>
      <c r="B349" s="382" t="s">
        <v>83</v>
      </c>
      <c r="C349" s="385">
        <v>0</v>
      </c>
      <c r="D349" s="396" t="s">
        <v>406</v>
      </c>
      <c r="E349" s="396" t="s">
        <v>90</v>
      </c>
      <c r="F349" s="388">
        <v>0</v>
      </c>
    </row>
    <row r="350" spans="1:6" ht="14.95" customHeight="1" thickBot="1" x14ac:dyDescent="0.3">
      <c r="A350" s="382" t="s">
        <v>689</v>
      </c>
      <c r="B350" s="375" t="s">
        <v>544</v>
      </c>
      <c r="C350" s="385">
        <v>0</v>
      </c>
      <c r="D350" s="396" t="s">
        <v>330</v>
      </c>
      <c r="E350" s="396" t="s">
        <v>322</v>
      </c>
      <c r="F350" s="388">
        <v>0</v>
      </c>
    </row>
    <row r="351" spans="1:6" ht="14.95" customHeight="1" thickBot="1" x14ac:dyDescent="0.3">
      <c r="A351" s="382" t="s">
        <v>568</v>
      </c>
      <c r="B351" s="382" t="s">
        <v>80</v>
      </c>
      <c r="C351" s="385">
        <v>0</v>
      </c>
      <c r="D351" s="396" t="s">
        <v>732</v>
      </c>
      <c r="E351" s="396" t="s">
        <v>83</v>
      </c>
      <c r="F351" s="388">
        <v>0</v>
      </c>
    </row>
    <row r="352" spans="1:6" ht="14.95" customHeight="1" thickBot="1" x14ac:dyDescent="0.3">
      <c r="A352" s="382" t="s">
        <v>776</v>
      </c>
      <c r="B352" s="382" t="s">
        <v>322</v>
      </c>
      <c r="C352" s="386">
        <v>0</v>
      </c>
      <c r="D352" s="396" t="s">
        <v>662</v>
      </c>
      <c r="E352" s="396" t="s">
        <v>80</v>
      </c>
      <c r="F352" s="388">
        <v>0</v>
      </c>
    </row>
    <row r="353" spans="1:6" ht="14.95" customHeight="1" thickBot="1" x14ac:dyDescent="0.3">
      <c r="A353" s="382" t="s">
        <v>719</v>
      </c>
      <c r="B353" s="382" t="s">
        <v>917</v>
      </c>
      <c r="C353" s="385">
        <v>0</v>
      </c>
      <c r="D353" s="396" t="s">
        <v>331</v>
      </c>
      <c r="E353" s="396" t="s">
        <v>322</v>
      </c>
      <c r="F353" s="388">
        <v>0</v>
      </c>
    </row>
    <row r="354" spans="1:6" ht="14.95" customHeight="1" thickBot="1" x14ac:dyDescent="0.3">
      <c r="A354" s="382" t="s">
        <v>605</v>
      </c>
      <c r="B354" s="382" t="s">
        <v>82</v>
      </c>
      <c r="C354" s="385">
        <v>0</v>
      </c>
      <c r="D354" s="396" t="s">
        <v>254</v>
      </c>
      <c r="E354" s="396" t="s">
        <v>80</v>
      </c>
      <c r="F354" s="388">
        <v>0</v>
      </c>
    </row>
    <row r="355" spans="1:6" ht="14.95" customHeight="1" thickBot="1" x14ac:dyDescent="0.3">
      <c r="A355" s="375" t="s">
        <v>278</v>
      </c>
      <c r="B355" s="375" t="s">
        <v>544</v>
      </c>
      <c r="C355" s="385">
        <v>0</v>
      </c>
      <c r="D355" s="396" t="s">
        <v>477</v>
      </c>
      <c r="E355" s="396" t="s">
        <v>81</v>
      </c>
      <c r="F355" s="388">
        <v>0</v>
      </c>
    </row>
    <row r="356" spans="1:6" ht="14.95" customHeight="1" thickBot="1" x14ac:dyDescent="0.3">
      <c r="A356" s="382" t="s">
        <v>826</v>
      </c>
      <c r="B356" s="382" t="s">
        <v>322</v>
      </c>
      <c r="C356" s="385">
        <v>0</v>
      </c>
      <c r="D356" s="396" t="s">
        <v>778</v>
      </c>
      <c r="E356" s="396" t="s">
        <v>83</v>
      </c>
      <c r="F356" s="388">
        <v>0</v>
      </c>
    </row>
    <row r="357" spans="1:6" ht="14.95" customHeight="1" thickBot="1" x14ac:dyDescent="0.3">
      <c r="A357" s="382" t="s">
        <v>188</v>
      </c>
      <c r="B357" s="382" t="s">
        <v>80</v>
      </c>
      <c r="C357" s="385">
        <v>0</v>
      </c>
      <c r="D357" s="396" t="s">
        <v>689</v>
      </c>
      <c r="E357" s="396" t="s">
        <v>544</v>
      </c>
      <c r="F357" s="388">
        <v>0</v>
      </c>
    </row>
    <row r="358" spans="1:6" ht="14.95" customHeight="1" thickBot="1" x14ac:dyDescent="0.3">
      <c r="A358" s="382" t="s">
        <v>233</v>
      </c>
      <c r="B358" s="382" t="s">
        <v>82</v>
      </c>
      <c r="C358" s="385">
        <v>0</v>
      </c>
      <c r="D358" s="396" t="s">
        <v>568</v>
      </c>
      <c r="E358" s="396" t="s">
        <v>80</v>
      </c>
      <c r="F358" s="388">
        <v>0</v>
      </c>
    </row>
    <row r="359" spans="1:6" ht="14.95" customHeight="1" thickBot="1" x14ac:dyDescent="0.3">
      <c r="A359" s="382" t="s">
        <v>779</v>
      </c>
      <c r="B359" s="382" t="s">
        <v>83</v>
      </c>
      <c r="C359" s="385">
        <v>0</v>
      </c>
      <c r="D359" s="396" t="s">
        <v>776</v>
      </c>
      <c r="E359" s="396" t="s">
        <v>322</v>
      </c>
      <c r="F359" s="388">
        <v>0</v>
      </c>
    </row>
    <row r="360" spans="1:6" ht="14.95" customHeight="1" thickBot="1" x14ac:dyDescent="0.3">
      <c r="A360" s="382" t="s">
        <v>166</v>
      </c>
      <c r="B360" s="382" t="s">
        <v>89</v>
      </c>
      <c r="C360" s="385">
        <v>0</v>
      </c>
      <c r="D360" s="396" t="s">
        <v>719</v>
      </c>
      <c r="E360" s="396" t="s">
        <v>917</v>
      </c>
      <c r="F360" s="388">
        <v>0</v>
      </c>
    </row>
    <row r="361" spans="1:6" ht="14.95" customHeight="1" thickBot="1" x14ac:dyDescent="0.3">
      <c r="A361" s="382" t="s">
        <v>443</v>
      </c>
      <c r="B361" s="382" t="s">
        <v>89</v>
      </c>
      <c r="C361" s="385">
        <v>0</v>
      </c>
      <c r="D361" s="396" t="s">
        <v>605</v>
      </c>
      <c r="E361" s="396" t="s">
        <v>82</v>
      </c>
      <c r="F361" s="388">
        <v>0</v>
      </c>
    </row>
    <row r="362" spans="1:6" ht="14.95" customHeight="1" thickBot="1" x14ac:dyDescent="0.3">
      <c r="A362" s="382" t="s">
        <v>237</v>
      </c>
      <c r="B362" s="382" t="s">
        <v>92</v>
      </c>
      <c r="C362" s="385">
        <v>0</v>
      </c>
      <c r="D362" s="396" t="s">
        <v>278</v>
      </c>
      <c r="E362" s="396" t="s">
        <v>544</v>
      </c>
      <c r="F362" s="388">
        <v>0</v>
      </c>
    </row>
    <row r="363" spans="1:6" ht="14.95" customHeight="1" thickBot="1" x14ac:dyDescent="0.3">
      <c r="A363" s="382" t="s">
        <v>723</v>
      </c>
      <c r="B363" s="382" t="s">
        <v>917</v>
      </c>
      <c r="C363" s="385">
        <v>0</v>
      </c>
      <c r="D363" s="396" t="s">
        <v>826</v>
      </c>
      <c r="E363" s="396" t="s">
        <v>322</v>
      </c>
      <c r="F363" s="388">
        <v>0</v>
      </c>
    </row>
    <row r="364" spans="1:6" ht="14.95" customHeight="1" thickBot="1" x14ac:dyDescent="0.3">
      <c r="A364" s="382" t="s">
        <v>818</v>
      </c>
      <c r="B364" s="382" t="s">
        <v>80</v>
      </c>
      <c r="C364" s="385">
        <v>0</v>
      </c>
      <c r="D364" s="396" t="s">
        <v>188</v>
      </c>
      <c r="E364" s="396" t="s">
        <v>80</v>
      </c>
      <c r="F364" s="388">
        <v>0</v>
      </c>
    </row>
    <row r="365" spans="1:6" ht="14.95" customHeight="1" thickBot="1" x14ac:dyDescent="0.3">
      <c r="A365" s="382" t="s">
        <v>706</v>
      </c>
      <c r="B365" s="382" t="s">
        <v>917</v>
      </c>
      <c r="C365" s="386">
        <v>0</v>
      </c>
      <c r="D365" s="396" t="s">
        <v>233</v>
      </c>
      <c r="E365" s="396" t="s">
        <v>82</v>
      </c>
      <c r="F365" s="388">
        <v>0</v>
      </c>
    </row>
    <row r="366" spans="1:6" ht="14.95" customHeight="1" thickBot="1" x14ac:dyDescent="0.3">
      <c r="A366" s="382" t="s">
        <v>387</v>
      </c>
      <c r="B366" s="382" t="s">
        <v>90</v>
      </c>
      <c r="C366" s="385">
        <v>0</v>
      </c>
      <c r="D366" s="397" t="s">
        <v>779</v>
      </c>
      <c r="E366" s="396" t="s">
        <v>83</v>
      </c>
      <c r="F366" s="388">
        <v>0</v>
      </c>
    </row>
    <row r="367" spans="1:6" ht="14.95" customHeight="1" thickBot="1" x14ac:dyDescent="0.3">
      <c r="A367" s="382" t="s">
        <v>206</v>
      </c>
      <c r="B367" s="382" t="s">
        <v>89</v>
      </c>
      <c r="C367" s="385">
        <v>0</v>
      </c>
      <c r="D367" s="396" t="s">
        <v>166</v>
      </c>
      <c r="E367" s="396" t="s">
        <v>89</v>
      </c>
      <c r="F367" s="388">
        <v>0</v>
      </c>
    </row>
    <row r="368" spans="1:6" ht="14.95" customHeight="1" thickBot="1" x14ac:dyDescent="0.3">
      <c r="A368" s="382" t="s">
        <v>332</v>
      </c>
      <c r="B368" s="375" t="s">
        <v>917</v>
      </c>
      <c r="C368" s="386">
        <v>0</v>
      </c>
      <c r="D368" s="396" t="s">
        <v>443</v>
      </c>
      <c r="E368" s="396" t="s">
        <v>89</v>
      </c>
      <c r="F368" s="388">
        <v>0</v>
      </c>
    </row>
    <row r="369" spans="1:6" ht="14.95" customHeight="1" thickBot="1" x14ac:dyDescent="0.3">
      <c r="A369" s="382" t="s">
        <v>632</v>
      </c>
      <c r="B369" s="382" t="s">
        <v>92</v>
      </c>
      <c r="C369" s="385">
        <v>0</v>
      </c>
      <c r="D369" s="396" t="s">
        <v>237</v>
      </c>
      <c r="E369" s="396" t="s">
        <v>92</v>
      </c>
      <c r="F369" s="388">
        <v>0</v>
      </c>
    </row>
    <row r="370" spans="1:6" ht="14.95" customHeight="1" thickBot="1" x14ac:dyDescent="0.3">
      <c r="A370" s="383" t="s">
        <v>599</v>
      </c>
      <c r="B370" s="383" t="s">
        <v>83</v>
      </c>
      <c r="C370" s="385">
        <v>0</v>
      </c>
      <c r="D370" s="396" t="s">
        <v>723</v>
      </c>
      <c r="E370" s="396" t="s">
        <v>917</v>
      </c>
      <c r="F370" s="388">
        <v>0</v>
      </c>
    </row>
    <row r="371" spans="1:6" ht="14.95" customHeight="1" thickBot="1" x14ac:dyDescent="0.3">
      <c r="A371" s="382" t="s">
        <v>353</v>
      </c>
      <c r="B371" s="382" t="s">
        <v>82</v>
      </c>
      <c r="C371" s="385">
        <v>0</v>
      </c>
      <c r="D371" s="396" t="s">
        <v>818</v>
      </c>
      <c r="E371" s="396" t="s">
        <v>80</v>
      </c>
      <c r="F371" s="388">
        <v>0</v>
      </c>
    </row>
    <row r="372" spans="1:6" ht="14.95" customHeight="1" thickBot="1" x14ac:dyDescent="0.3">
      <c r="A372" s="382" t="s">
        <v>1090</v>
      </c>
      <c r="B372" s="382" t="s">
        <v>917</v>
      </c>
      <c r="C372" s="385">
        <v>0</v>
      </c>
      <c r="D372" s="396" t="s">
        <v>706</v>
      </c>
      <c r="E372" s="396" t="s">
        <v>917</v>
      </c>
      <c r="F372" s="388">
        <v>0</v>
      </c>
    </row>
    <row r="373" spans="1:6" ht="14.95" customHeight="1" thickBot="1" x14ac:dyDescent="0.3">
      <c r="A373" s="382" t="s">
        <v>887</v>
      </c>
      <c r="B373" s="375" t="s">
        <v>81</v>
      </c>
      <c r="C373" s="385">
        <v>0</v>
      </c>
      <c r="D373" s="396" t="s">
        <v>387</v>
      </c>
      <c r="E373" s="396" t="s">
        <v>90</v>
      </c>
      <c r="F373" s="388">
        <v>0</v>
      </c>
    </row>
    <row r="374" spans="1:6" ht="14.95" customHeight="1" thickBot="1" x14ac:dyDescent="0.3">
      <c r="A374" s="382" t="s">
        <v>744</v>
      </c>
      <c r="B374" s="382" t="s">
        <v>81</v>
      </c>
      <c r="C374" s="386">
        <v>0</v>
      </c>
      <c r="D374" s="396" t="s">
        <v>206</v>
      </c>
      <c r="E374" s="396" t="s">
        <v>89</v>
      </c>
      <c r="F374" s="388">
        <v>0</v>
      </c>
    </row>
    <row r="375" spans="1:6" ht="14.95" customHeight="1" thickBot="1" x14ac:dyDescent="0.3">
      <c r="A375" s="382" t="s">
        <v>428</v>
      </c>
      <c r="B375" s="382" t="s">
        <v>89</v>
      </c>
      <c r="C375" s="385">
        <v>0</v>
      </c>
      <c r="D375" s="396" t="s">
        <v>332</v>
      </c>
      <c r="E375" s="396" t="s">
        <v>917</v>
      </c>
      <c r="F375" s="388">
        <v>0</v>
      </c>
    </row>
    <row r="376" spans="1:6" ht="14.95" customHeight="1" thickBot="1" x14ac:dyDescent="0.3">
      <c r="A376" s="375" t="s">
        <v>571</v>
      </c>
      <c r="B376" s="375" t="s">
        <v>917</v>
      </c>
      <c r="C376" s="385">
        <v>0</v>
      </c>
      <c r="D376" s="396" t="s">
        <v>632</v>
      </c>
      <c r="E376" s="396" t="s">
        <v>92</v>
      </c>
      <c r="F376" s="388">
        <v>0</v>
      </c>
    </row>
    <row r="377" spans="1:6" ht="14.95" customHeight="1" thickBot="1" x14ac:dyDescent="0.3">
      <c r="A377" s="382" t="s">
        <v>149</v>
      </c>
      <c r="B377" s="382" t="s">
        <v>90</v>
      </c>
      <c r="C377" s="385">
        <v>0</v>
      </c>
      <c r="D377" s="396" t="s">
        <v>599</v>
      </c>
      <c r="E377" s="396" t="s">
        <v>83</v>
      </c>
      <c r="F377" s="388">
        <v>0</v>
      </c>
    </row>
    <row r="378" spans="1:6" ht="14.95" customHeight="1" thickBot="1" x14ac:dyDescent="0.3">
      <c r="A378" s="383" t="s">
        <v>708</v>
      </c>
      <c r="B378" s="383" t="s">
        <v>917</v>
      </c>
      <c r="C378" s="386">
        <v>0</v>
      </c>
      <c r="D378" s="396" t="s">
        <v>353</v>
      </c>
      <c r="E378" s="396" t="s">
        <v>82</v>
      </c>
      <c r="F378" s="388">
        <v>0</v>
      </c>
    </row>
    <row r="379" spans="1:6" ht="14.95" customHeight="1" thickBot="1" x14ac:dyDescent="0.3">
      <c r="A379" s="382" t="s">
        <v>801</v>
      </c>
      <c r="B379" s="382" t="s">
        <v>82</v>
      </c>
      <c r="C379" s="385">
        <v>0</v>
      </c>
      <c r="D379" s="396" t="s">
        <v>1090</v>
      </c>
      <c r="E379" s="396" t="s">
        <v>917</v>
      </c>
      <c r="F379" s="388">
        <v>0</v>
      </c>
    </row>
    <row r="380" spans="1:6" ht="14.95" customHeight="1" thickBot="1" x14ac:dyDescent="0.3">
      <c r="A380" s="382" t="s">
        <v>1092</v>
      </c>
      <c r="B380" s="382" t="s">
        <v>917</v>
      </c>
      <c r="C380" s="385">
        <f>Christienrbpremcuptries</f>
        <v>0</v>
      </c>
      <c r="D380" s="396" t="s">
        <v>1092</v>
      </c>
      <c r="E380" s="396" t="s">
        <v>917</v>
      </c>
      <c r="F380" s="388">
        <f>Christienrbpremcuppts</f>
        <v>0</v>
      </c>
    </row>
    <row r="381" spans="1:6" ht="14.95" customHeight="1" thickBot="1" x14ac:dyDescent="0.3">
      <c r="A381" s="382" t="s">
        <v>879</v>
      </c>
      <c r="B381" s="382" t="s">
        <v>917</v>
      </c>
      <c r="C381" s="385">
        <v>0</v>
      </c>
      <c r="D381" s="396" t="s">
        <v>887</v>
      </c>
      <c r="E381" s="396" t="s">
        <v>81</v>
      </c>
      <c r="F381" s="388">
        <v>0</v>
      </c>
    </row>
    <row r="382" spans="1:6" ht="14.95" customHeight="1" thickBot="1" x14ac:dyDescent="0.3">
      <c r="A382" s="382" t="s">
        <v>585</v>
      </c>
      <c r="B382" s="382" t="s">
        <v>322</v>
      </c>
      <c r="C382" s="385">
        <v>0</v>
      </c>
      <c r="D382" s="396" t="s">
        <v>744</v>
      </c>
      <c r="E382" s="396" t="s">
        <v>81</v>
      </c>
      <c r="F382" s="388">
        <v>0</v>
      </c>
    </row>
    <row r="383" spans="1:6" ht="14.95" customHeight="1" thickBot="1" x14ac:dyDescent="0.3">
      <c r="A383" s="382" t="s">
        <v>873</v>
      </c>
      <c r="B383" s="382" t="s">
        <v>83</v>
      </c>
      <c r="C383" s="385">
        <v>0</v>
      </c>
      <c r="D383" s="396" t="s">
        <v>428</v>
      </c>
      <c r="E383" s="396" t="s">
        <v>89</v>
      </c>
      <c r="F383" s="388">
        <v>0</v>
      </c>
    </row>
    <row r="384" spans="1:6" ht="14.95" customHeight="1" thickBot="1" x14ac:dyDescent="0.3">
      <c r="A384" s="382" t="s">
        <v>382</v>
      </c>
      <c r="B384" s="382" t="s">
        <v>83</v>
      </c>
      <c r="C384" s="386">
        <v>0</v>
      </c>
      <c r="D384" s="396" t="s">
        <v>571</v>
      </c>
      <c r="E384" s="396" t="s">
        <v>917</v>
      </c>
      <c r="F384" s="388">
        <v>0</v>
      </c>
    </row>
    <row r="385" spans="1:6" ht="14.95" customHeight="1" thickBot="1" x14ac:dyDescent="0.3">
      <c r="A385" s="382" t="s">
        <v>4</v>
      </c>
      <c r="B385" s="382" t="s">
        <v>322</v>
      </c>
      <c r="C385" s="385">
        <v>0</v>
      </c>
      <c r="D385" s="396" t="s">
        <v>149</v>
      </c>
      <c r="E385" s="396" t="s">
        <v>90</v>
      </c>
      <c r="F385" s="388">
        <v>0</v>
      </c>
    </row>
    <row r="386" spans="1:6" ht="14.95" customHeight="1" thickBot="1" x14ac:dyDescent="0.3">
      <c r="A386" s="382" t="s">
        <v>84</v>
      </c>
      <c r="B386" s="382" t="s">
        <v>92</v>
      </c>
      <c r="C386" s="385">
        <v>0</v>
      </c>
      <c r="D386" s="396" t="s">
        <v>708</v>
      </c>
      <c r="E386" s="396" t="s">
        <v>917</v>
      </c>
      <c r="F386" s="388">
        <v>0</v>
      </c>
    </row>
    <row r="387" spans="1:6" ht="14.95" customHeight="1" thickBot="1" x14ac:dyDescent="0.3">
      <c r="A387" s="382" t="s">
        <v>84</v>
      </c>
      <c r="B387" s="382" t="s">
        <v>82</v>
      </c>
      <c r="C387" s="385">
        <v>0</v>
      </c>
      <c r="D387" s="396" t="s">
        <v>801</v>
      </c>
      <c r="E387" s="396" t="s">
        <v>82</v>
      </c>
      <c r="F387" s="388">
        <v>0</v>
      </c>
    </row>
    <row r="388" spans="1:6" ht="14.95" customHeight="1" thickBot="1" x14ac:dyDescent="0.3">
      <c r="A388" s="375" t="s">
        <v>84</v>
      </c>
      <c r="B388" s="375" t="s">
        <v>90</v>
      </c>
      <c r="C388" s="385">
        <v>0</v>
      </c>
      <c r="D388" s="396" t="s">
        <v>879</v>
      </c>
      <c r="E388" s="396" t="s">
        <v>917</v>
      </c>
      <c r="F388" s="388">
        <v>0</v>
      </c>
    </row>
    <row r="389" spans="1:6" ht="14.95" customHeight="1" thickBot="1" x14ac:dyDescent="0.3">
      <c r="A389" s="382" t="s">
        <v>84</v>
      </c>
      <c r="B389" s="382" t="s">
        <v>80</v>
      </c>
      <c r="C389" s="385">
        <v>0</v>
      </c>
      <c r="D389" s="396" t="s">
        <v>585</v>
      </c>
      <c r="E389" s="396" t="s">
        <v>322</v>
      </c>
      <c r="F389" s="391">
        <v>0</v>
      </c>
    </row>
    <row r="390" spans="1:6" ht="14.95" customHeight="1" thickBot="1" x14ac:dyDescent="0.3">
      <c r="A390" s="382" t="s">
        <v>84</v>
      </c>
      <c r="B390" s="382" t="s">
        <v>89</v>
      </c>
      <c r="C390" s="385">
        <v>0</v>
      </c>
      <c r="D390" s="396" t="s">
        <v>873</v>
      </c>
      <c r="E390" s="396" t="s">
        <v>83</v>
      </c>
      <c r="F390" s="388">
        <v>0</v>
      </c>
    </row>
    <row r="391" spans="1:6" ht="14.95" customHeight="1" thickBot="1" x14ac:dyDescent="0.3">
      <c r="A391" s="382" t="s">
        <v>84</v>
      </c>
      <c r="B391" s="375" t="s">
        <v>544</v>
      </c>
      <c r="C391" s="385">
        <v>0</v>
      </c>
      <c r="D391" s="396" t="s">
        <v>382</v>
      </c>
      <c r="E391" s="396" t="s">
        <v>83</v>
      </c>
      <c r="F391" s="388">
        <v>0</v>
      </c>
    </row>
    <row r="392" spans="1:6" ht="14.95" customHeight="1" thickBot="1" x14ac:dyDescent="0.3">
      <c r="A392" s="382" t="s">
        <v>84</v>
      </c>
      <c r="B392" s="382" t="s">
        <v>83</v>
      </c>
      <c r="C392" s="385">
        <v>0</v>
      </c>
      <c r="D392" s="396" t="s">
        <v>4</v>
      </c>
      <c r="E392" s="396" t="s">
        <v>322</v>
      </c>
      <c r="F392" s="388">
        <v>0</v>
      </c>
    </row>
    <row r="393" spans="1:6" ht="14.95" customHeight="1" thickBot="1" x14ac:dyDescent="0.3">
      <c r="A393" s="375" t="s">
        <v>84</v>
      </c>
      <c r="B393" s="375" t="s">
        <v>917</v>
      </c>
      <c r="C393" s="385">
        <v>0</v>
      </c>
      <c r="D393" s="396" t="s">
        <v>84</v>
      </c>
      <c r="E393" s="396" t="s">
        <v>92</v>
      </c>
      <c r="F393" s="388">
        <v>0</v>
      </c>
    </row>
    <row r="394" spans="1:6" ht="14.95" customHeight="1" thickBot="1" x14ac:dyDescent="0.3">
      <c r="A394" s="382" t="s">
        <v>84</v>
      </c>
      <c r="B394" s="382" t="s">
        <v>81</v>
      </c>
      <c r="C394" s="385">
        <v>0</v>
      </c>
      <c r="D394" s="396" t="s">
        <v>84</v>
      </c>
      <c r="E394" s="396" t="s">
        <v>82</v>
      </c>
      <c r="F394" s="388">
        <v>0</v>
      </c>
    </row>
    <row r="395" spans="1:6" ht="14.95" customHeight="1" thickBot="1" x14ac:dyDescent="0.3">
      <c r="A395" s="382" t="s">
        <v>457</v>
      </c>
      <c r="B395" s="382" t="s">
        <v>82</v>
      </c>
      <c r="C395" s="385">
        <v>0</v>
      </c>
      <c r="D395" s="397" t="s">
        <v>84</v>
      </c>
      <c r="E395" s="397" t="s">
        <v>90</v>
      </c>
      <c r="F395" s="388">
        <v>0</v>
      </c>
    </row>
    <row r="396" spans="1:6" ht="14.95" customHeight="1" thickBot="1" x14ac:dyDescent="0.3">
      <c r="A396" s="375" t="s">
        <v>510</v>
      </c>
      <c r="B396" s="382" t="s">
        <v>917</v>
      </c>
      <c r="C396" s="385">
        <v>0</v>
      </c>
      <c r="D396" s="396" t="s">
        <v>84</v>
      </c>
      <c r="E396" s="396" t="s">
        <v>80</v>
      </c>
      <c r="F396" s="388">
        <v>0</v>
      </c>
    </row>
    <row r="397" spans="1:6" ht="14.95" customHeight="1" thickBot="1" x14ac:dyDescent="0.3">
      <c r="A397" s="375" t="s">
        <v>676</v>
      </c>
      <c r="B397" s="375" t="s">
        <v>544</v>
      </c>
      <c r="C397" s="385">
        <v>0</v>
      </c>
      <c r="D397" s="396" t="s">
        <v>84</v>
      </c>
      <c r="E397" s="396" t="s">
        <v>89</v>
      </c>
      <c r="F397" s="388">
        <v>0</v>
      </c>
    </row>
    <row r="398" spans="1:6" ht="14.95" customHeight="1" thickBot="1" x14ac:dyDescent="0.3">
      <c r="A398" s="382" t="s">
        <v>667</v>
      </c>
      <c r="B398" s="382" t="s">
        <v>80</v>
      </c>
      <c r="C398" s="385">
        <v>0</v>
      </c>
      <c r="D398" s="396" t="s">
        <v>84</v>
      </c>
      <c r="E398" s="396" t="s">
        <v>544</v>
      </c>
      <c r="F398" s="388">
        <v>0</v>
      </c>
    </row>
    <row r="399" spans="1:6" ht="14.95" customHeight="1" thickBot="1" x14ac:dyDescent="0.3">
      <c r="A399" s="382" t="s">
        <v>882</v>
      </c>
      <c r="B399" s="382" t="s">
        <v>83</v>
      </c>
      <c r="C399" s="385">
        <v>0</v>
      </c>
      <c r="D399" s="396" t="s">
        <v>84</v>
      </c>
      <c r="E399" s="396" t="s">
        <v>83</v>
      </c>
      <c r="F399" s="388">
        <v>0</v>
      </c>
    </row>
    <row r="400" spans="1:6" ht="14.95" customHeight="1" thickBot="1" x14ac:dyDescent="0.3">
      <c r="A400" s="382" t="s">
        <v>333</v>
      </c>
      <c r="B400" s="382" t="s">
        <v>322</v>
      </c>
      <c r="C400" s="385">
        <v>0</v>
      </c>
      <c r="D400" s="396" t="s">
        <v>84</v>
      </c>
      <c r="E400" s="396" t="s">
        <v>917</v>
      </c>
      <c r="F400" s="388">
        <v>0</v>
      </c>
    </row>
    <row r="401" spans="1:6" ht="14.95" customHeight="1" thickBot="1" x14ac:dyDescent="0.3">
      <c r="A401" s="382" t="s">
        <v>478</v>
      </c>
      <c r="B401" s="375" t="s">
        <v>544</v>
      </c>
      <c r="C401" s="385">
        <v>0</v>
      </c>
      <c r="D401" s="396" t="s">
        <v>84</v>
      </c>
      <c r="E401" s="396" t="s">
        <v>81</v>
      </c>
      <c r="F401" s="391">
        <v>0</v>
      </c>
    </row>
    <row r="402" spans="1:6" ht="14.95" customHeight="1" thickBot="1" x14ac:dyDescent="0.3">
      <c r="A402" s="382" t="s">
        <v>448</v>
      </c>
      <c r="B402" s="382" t="s">
        <v>83</v>
      </c>
      <c r="C402" s="385">
        <v>0</v>
      </c>
      <c r="D402" s="396" t="s">
        <v>457</v>
      </c>
      <c r="E402" s="396" t="s">
        <v>82</v>
      </c>
      <c r="F402" s="388">
        <v>0</v>
      </c>
    </row>
    <row r="403" spans="1:6" ht="14.95" customHeight="1" thickBot="1" x14ac:dyDescent="0.3">
      <c r="A403" s="382" t="s">
        <v>539</v>
      </c>
      <c r="B403" s="382" t="s">
        <v>89</v>
      </c>
      <c r="C403" s="385">
        <v>0</v>
      </c>
      <c r="D403" s="397" t="s">
        <v>510</v>
      </c>
      <c r="E403" s="397" t="s">
        <v>917</v>
      </c>
      <c r="F403" s="388">
        <v>0</v>
      </c>
    </row>
    <row r="404" spans="1:6" ht="14.95" customHeight="1" thickBot="1" x14ac:dyDescent="0.3">
      <c r="A404" s="382" t="s">
        <v>300</v>
      </c>
      <c r="B404" s="382" t="s">
        <v>81</v>
      </c>
      <c r="C404" s="385">
        <v>0</v>
      </c>
      <c r="D404" s="397" t="s">
        <v>676</v>
      </c>
      <c r="E404" s="397" t="s">
        <v>544</v>
      </c>
      <c r="F404" s="388">
        <v>0</v>
      </c>
    </row>
    <row r="405" spans="1:6" ht="14.95" customHeight="1" thickBot="1" x14ac:dyDescent="0.3">
      <c r="A405" s="375" t="s">
        <v>129</v>
      </c>
      <c r="B405" s="375" t="s">
        <v>92</v>
      </c>
      <c r="C405" s="385">
        <v>0</v>
      </c>
      <c r="D405" s="397" t="s">
        <v>667</v>
      </c>
      <c r="E405" s="396" t="s">
        <v>80</v>
      </c>
      <c r="F405" s="388">
        <v>0</v>
      </c>
    </row>
    <row r="406" spans="1:6" ht="14.95" customHeight="1" thickBot="1" x14ac:dyDescent="0.3">
      <c r="A406" s="382" t="s">
        <v>130</v>
      </c>
      <c r="B406" s="382" t="s">
        <v>80</v>
      </c>
      <c r="C406" s="385">
        <v>0</v>
      </c>
      <c r="D406" s="396" t="s">
        <v>882</v>
      </c>
      <c r="E406" s="396" t="s">
        <v>83</v>
      </c>
      <c r="F406" s="388">
        <v>0</v>
      </c>
    </row>
    <row r="407" spans="1:6" ht="14.95" customHeight="1" thickBot="1" x14ac:dyDescent="0.3">
      <c r="A407" s="375" t="s">
        <v>618</v>
      </c>
      <c r="B407" s="375" t="s">
        <v>92</v>
      </c>
      <c r="C407" s="385">
        <v>0</v>
      </c>
      <c r="D407" s="396" t="s">
        <v>333</v>
      </c>
      <c r="E407" s="396" t="s">
        <v>322</v>
      </c>
      <c r="F407" s="388">
        <v>0</v>
      </c>
    </row>
    <row r="408" spans="1:6" ht="14.95" customHeight="1" thickBot="1" x14ac:dyDescent="0.3">
      <c r="A408" s="382" t="s">
        <v>131</v>
      </c>
      <c r="B408" s="382" t="s">
        <v>82</v>
      </c>
      <c r="C408" s="385">
        <v>0</v>
      </c>
      <c r="D408" s="396" t="s">
        <v>478</v>
      </c>
      <c r="E408" s="396" t="s">
        <v>544</v>
      </c>
      <c r="F408" s="391">
        <v>0</v>
      </c>
    </row>
    <row r="409" spans="1:6" ht="14.95" customHeight="1" thickBot="1" x14ac:dyDescent="0.3">
      <c r="A409" s="382" t="s">
        <v>132</v>
      </c>
      <c r="B409" s="382" t="s">
        <v>81</v>
      </c>
      <c r="C409" s="385">
        <v>0</v>
      </c>
      <c r="D409" s="396" t="s">
        <v>448</v>
      </c>
      <c r="E409" s="396" t="s">
        <v>83</v>
      </c>
      <c r="F409" s="388">
        <v>0</v>
      </c>
    </row>
    <row r="410" spans="1:6" ht="14.95" customHeight="1" thickBot="1" x14ac:dyDescent="0.3">
      <c r="A410" s="382" t="s">
        <v>370</v>
      </c>
      <c r="B410" s="382" t="s">
        <v>80</v>
      </c>
      <c r="C410" s="385">
        <v>0</v>
      </c>
      <c r="D410" s="396" t="s">
        <v>539</v>
      </c>
      <c r="E410" s="396" t="s">
        <v>89</v>
      </c>
      <c r="F410" s="388">
        <v>0</v>
      </c>
    </row>
    <row r="411" spans="1:6" ht="14.95" customHeight="1" thickBot="1" x14ac:dyDescent="0.3">
      <c r="A411" s="382" t="s">
        <v>156</v>
      </c>
      <c r="B411" s="375" t="s">
        <v>544</v>
      </c>
      <c r="C411" s="385">
        <v>0</v>
      </c>
      <c r="D411" s="396" t="s">
        <v>300</v>
      </c>
      <c r="E411" s="396" t="s">
        <v>81</v>
      </c>
      <c r="F411" s="388">
        <v>0</v>
      </c>
    </row>
    <row r="412" spans="1:6" ht="14.95" customHeight="1" thickBot="1" x14ac:dyDescent="0.3">
      <c r="A412" s="382" t="s">
        <v>231</v>
      </c>
      <c r="B412" s="382" t="s">
        <v>82</v>
      </c>
      <c r="C412" s="385">
        <v>0</v>
      </c>
      <c r="D412" s="397" t="s">
        <v>129</v>
      </c>
      <c r="E412" s="397" t="s">
        <v>92</v>
      </c>
      <c r="F412" s="388">
        <v>0</v>
      </c>
    </row>
    <row r="413" spans="1:6" ht="14.95" customHeight="1" thickBot="1" x14ac:dyDescent="0.3">
      <c r="A413" s="382" t="s">
        <v>334</v>
      </c>
      <c r="B413" s="382" t="s">
        <v>322</v>
      </c>
      <c r="C413" s="385">
        <v>0</v>
      </c>
      <c r="D413" s="396" t="s">
        <v>130</v>
      </c>
      <c r="E413" s="396" t="s">
        <v>80</v>
      </c>
      <c r="F413" s="388">
        <v>0</v>
      </c>
    </row>
    <row r="414" spans="1:6" ht="14.95" customHeight="1" thickBot="1" x14ac:dyDescent="0.3">
      <c r="A414" s="373" t="s">
        <v>385</v>
      </c>
      <c r="B414" s="382" t="s">
        <v>82</v>
      </c>
      <c r="C414" s="385">
        <v>0</v>
      </c>
      <c r="D414" s="397" t="s">
        <v>618</v>
      </c>
      <c r="E414" s="397" t="s">
        <v>92</v>
      </c>
      <c r="F414" s="388">
        <v>0</v>
      </c>
    </row>
    <row r="415" spans="1:6" ht="14.95" customHeight="1" thickBot="1" x14ac:dyDescent="0.3">
      <c r="A415" s="373" t="s">
        <v>796</v>
      </c>
      <c r="B415" s="382" t="s">
        <v>81</v>
      </c>
      <c r="C415" s="385">
        <v>0</v>
      </c>
      <c r="D415" s="396" t="s">
        <v>131</v>
      </c>
      <c r="E415" s="396" t="s">
        <v>82</v>
      </c>
      <c r="F415" s="388">
        <v>0</v>
      </c>
    </row>
    <row r="416" spans="1:6" ht="14.95" customHeight="1" thickBot="1" x14ac:dyDescent="0.3">
      <c r="A416" s="373" t="s">
        <v>286</v>
      </c>
      <c r="B416" s="382" t="s">
        <v>81</v>
      </c>
      <c r="C416" s="385">
        <v>0</v>
      </c>
      <c r="D416" s="396" t="s">
        <v>132</v>
      </c>
      <c r="E416" s="396" t="s">
        <v>81</v>
      </c>
      <c r="F416" s="388">
        <v>0</v>
      </c>
    </row>
    <row r="417" spans="1:6" ht="14.95" customHeight="1" thickBot="1" x14ac:dyDescent="0.3">
      <c r="A417" s="381" t="s">
        <v>184</v>
      </c>
      <c r="B417" s="375" t="s">
        <v>81</v>
      </c>
      <c r="C417" s="385">
        <v>0</v>
      </c>
      <c r="D417" s="396" t="s">
        <v>370</v>
      </c>
      <c r="E417" s="396" t="s">
        <v>80</v>
      </c>
      <c r="F417" s="388">
        <v>0</v>
      </c>
    </row>
    <row r="418" spans="1:6" ht="14.95" customHeight="1" thickBot="1" x14ac:dyDescent="0.3">
      <c r="A418" s="373" t="s">
        <v>739</v>
      </c>
      <c r="B418" s="382" t="s">
        <v>81</v>
      </c>
      <c r="C418" s="386">
        <v>0</v>
      </c>
      <c r="D418" s="396" t="s">
        <v>156</v>
      </c>
      <c r="E418" s="396" t="s">
        <v>544</v>
      </c>
      <c r="F418" s="388">
        <v>0</v>
      </c>
    </row>
    <row r="419" spans="1:6" ht="14.95" customHeight="1" thickBot="1" x14ac:dyDescent="0.3">
      <c r="A419" s="373" t="s">
        <v>648</v>
      </c>
      <c r="B419" s="382" t="s">
        <v>90</v>
      </c>
      <c r="C419" s="385">
        <v>0</v>
      </c>
      <c r="D419" s="393" t="s">
        <v>231</v>
      </c>
      <c r="E419" s="396" t="s">
        <v>82</v>
      </c>
      <c r="F419" s="388">
        <v>0</v>
      </c>
    </row>
    <row r="420" spans="1:6" ht="14.95" customHeight="1" thickBot="1" x14ac:dyDescent="0.3">
      <c r="A420" s="373" t="s">
        <v>439</v>
      </c>
      <c r="B420" s="382" t="s">
        <v>92</v>
      </c>
      <c r="C420" s="385">
        <v>0</v>
      </c>
      <c r="D420" s="393" t="s">
        <v>334</v>
      </c>
      <c r="E420" s="396" t="s">
        <v>322</v>
      </c>
      <c r="F420" s="388">
        <v>0</v>
      </c>
    </row>
    <row r="421" spans="1:6" ht="14.95" customHeight="1" thickBot="1" x14ac:dyDescent="0.3">
      <c r="A421" s="373" t="s">
        <v>690</v>
      </c>
      <c r="B421" s="375" t="s">
        <v>544</v>
      </c>
      <c r="C421" s="385">
        <v>0</v>
      </c>
      <c r="D421" s="393" t="s">
        <v>385</v>
      </c>
      <c r="E421" s="396" t="s">
        <v>82</v>
      </c>
      <c r="F421" s="388">
        <v>0</v>
      </c>
    </row>
    <row r="422" spans="1:6" ht="14.95" customHeight="1" thickBot="1" x14ac:dyDescent="0.3">
      <c r="A422" s="373" t="s">
        <v>572</v>
      </c>
      <c r="B422" s="382" t="s">
        <v>83</v>
      </c>
      <c r="C422" s="385">
        <v>0</v>
      </c>
      <c r="D422" s="393" t="s">
        <v>796</v>
      </c>
      <c r="E422" s="396" t="s">
        <v>81</v>
      </c>
      <c r="F422" s="388">
        <v>0</v>
      </c>
    </row>
    <row r="423" spans="1:6" ht="14.95" customHeight="1" thickBot="1" x14ac:dyDescent="0.3">
      <c r="A423" s="373" t="s">
        <v>809</v>
      </c>
      <c r="B423" s="382" t="s">
        <v>89</v>
      </c>
      <c r="C423" s="385">
        <v>0</v>
      </c>
      <c r="D423" s="393" t="s">
        <v>286</v>
      </c>
      <c r="E423" s="396" t="s">
        <v>81</v>
      </c>
      <c r="F423" s="388">
        <v>0</v>
      </c>
    </row>
    <row r="424" spans="1:6" ht="14.95" customHeight="1" thickBot="1" x14ac:dyDescent="0.3">
      <c r="A424" s="373" t="s">
        <v>742</v>
      </c>
      <c r="B424" s="382" t="s">
        <v>81</v>
      </c>
      <c r="C424" s="385">
        <v>0</v>
      </c>
      <c r="D424" s="394" t="s">
        <v>184</v>
      </c>
      <c r="E424" s="397" t="s">
        <v>81</v>
      </c>
      <c r="F424" s="388">
        <v>0</v>
      </c>
    </row>
    <row r="425" spans="1:6" ht="14.95" customHeight="1" thickBot="1" x14ac:dyDescent="0.3">
      <c r="A425" s="373" t="s">
        <v>559</v>
      </c>
      <c r="B425" s="382" t="s">
        <v>82</v>
      </c>
      <c r="C425" s="385">
        <v>0</v>
      </c>
      <c r="D425" s="393" t="s">
        <v>739</v>
      </c>
      <c r="E425" s="396" t="s">
        <v>81</v>
      </c>
      <c r="F425" s="388">
        <v>0</v>
      </c>
    </row>
    <row r="426" spans="1:6" ht="14.95" customHeight="1" thickBot="1" x14ac:dyDescent="0.3">
      <c r="A426" s="381" t="s">
        <v>709</v>
      </c>
      <c r="B426" s="382" t="s">
        <v>917</v>
      </c>
      <c r="C426" s="385">
        <v>0</v>
      </c>
      <c r="D426" s="394" t="s">
        <v>648</v>
      </c>
      <c r="E426" s="397" t="s">
        <v>90</v>
      </c>
      <c r="F426" s="388">
        <v>0</v>
      </c>
    </row>
    <row r="427" spans="1:6" ht="14.95" customHeight="1" thickBot="1" x14ac:dyDescent="0.3">
      <c r="A427" s="373" t="s">
        <v>634</v>
      </c>
      <c r="B427" s="382" t="s">
        <v>92</v>
      </c>
      <c r="C427" s="385">
        <v>0</v>
      </c>
      <c r="D427" s="393" t="s">
        <v>439</v>
      </c>
      <c r="E427" s="396" t="s">
        <v>92</v>
      </c>
      <c r="F427" s="388">
        <v>0</v>
      </c>
    </row>
    <row r="428" spans="1:6" ht="14.95" customHeight="1" thickBot="1" x14ac:dyDescent="0.3">
      <c r="A428" s="373" t="s">
        <v>133</v>
      </c>
      <c r="B428" s="382" t="s">
        <v>83</v>
      </c>
      <c r="C428" s="385">
        <v>0</v>
      </c>
      <c r="D428" s="393" t="s">
        <v>690</v>
      </c>
      <c r="E428" s="396" t="s">
        <v>544</v>
      </c>
      <c r="F428" s="388">
        <v>0</v>
      </c>
    </row>
    <row r="429" spans="1:6" ht="14.95" customHeight="1" thickBot="1" x14ac:dyDescent="0.3">
      <c r="A429" s="373" t="s">
        <v>987</v>
      </c>
      <c r="B429" s="375" t="s">
        <v>544</v>
      </c>
      <c r="C429" s="385">
        <f>searleleipremcuptries</f>
        <v>0</v>
      </c>
      <c r="D429" s="394" t="s">
        <v>572</v>
      </c>
      <c r="E429" s="396" t="s">
        <v>83</v>
      </c>
      <c r="F429" s="388">
        <v>0</v>
      </c>
    </row>
    <row r="430" spans="1:6" ht="14.95" customHeight="1" thickBot="1" x14ac:dyDescent="0.3">
      <c r="A430" s="373" t="s">
        <v>198</v>
      </c>
      <c r="B430" s="382" t="s">
        <v>322</v>
      </c>
      <c r="C430" s="385">
        <v>0</v>
      </c>
      <c r="D430" s="393" t="s">
        <v>809</v>
      </c>
      <c r="E430" s="396" t="s">
        <v>89</v>
      </c>
      <c r="F430" s="388">
        <v>0</v>
      </c>
    </row>
    <row r="431" spans="1:6" ht="14.95" customHeight="1" thickBot="1" x14ac:dyDescent="0.3">
      <c r="A431" s="381" t="s">
        <v>269</v>
      </c>
      <c r="B431" s="382" t="s">
        <v>80</v>
      </c>
      <c r="C431" s="385">
        <v>0</v>
      </c>
      <c r="D431" s="393" t="s">
        <v>742</v>
      </c>
      <c r="E431" s="396" t="s">
        <v>81</v>
      </c>
      <c r="F431" s="388">
        <v>0</v>
      </c>
    </row>
    <row r="432" spans="1:6" ht="14.95" customHeight="1" thickBot="1" x14ac:dyDescent="0.3">
      <c r="A432" s="373" t="s">
        <v>459</v>
      </c>
      <c r="B432" s="382" t="s">
        <v>90</v>
      </c>
      <c r="C432" s="385">
        <v>0</v>
      </c>
      <c r="D432" s="393" t="s">
        <v>559</v>
      </c>
      <c r="E432" s="396" t="s">
        <v>82</v>
      </c>
      <c r="F432" s="388">
        <v>0</v>
      </c>
    </row>
    <row r="433" spans="1:6" ht="14.95" customHeight="1" thickBot="1" x14ac:dyDescent="0.3">
      <c r="A433" s="373" t="s">
        <v>154</v>
      </c>
      <c r="B433" s="382" t="s">
        <v>90</v>
      </c>
      <c r="C433" s="385">
        <v>0</v>
      </c>
      <c r="D433" s="393" t="s">
        <v>709</v>
      </c>
      <c r="E433" s="396" t="s">
        <v>917</v>
      </c>
      <c r="F433" s="388">
        <v>0</v>
      </c>
    </row>
    <row r="434" spans="1:6" ht="14.95" customHeight="1" thickBot="1" x14ac:dyDescent="0.3">
      <c r="A434" s="373" t="s">
        <v>135</v>
      </c>
      <c r="B434" s="382" t="s">
        <v>90</v>
      </c>
      <c r="C434" s="385">
        <f>sladeexepremcuptries</f>
        <v>0</v>
      </c>
      <c r="D434" s="393" t="s">
        <v>634</v>
      </c>
      <c r="E434" s="396" t="s">
        <v>92</v>
      </c>
      <c r="F434" s="388">
        <v>0</v>
      </c>
    </row>
    <row r="435" spans="1:6" ht="14.95" customHeight="1" thickBot="1" x14ac:dyDescent="0.3">
      <c r="A435" s="373" t="s">
        <v>432</v>
      </c>
      <c r="B435" s="382" t="s">
        <v>89</v>
      </c>
      <c r="C435" s="385">
        <f>slevinharpremcuptries</f>
        <v>0</v>
      </c>
      <c r="D435" s="393" t="s">
        <v>133</v>
      </c>
      <c r="E435" s="396" t="s">
        <v>83</v>
      </c>
      <c r="F435" s="388">
        <v>0</v>
      </c>
    </row>
    <row r="436" spans="1:6" ht="14.95" customHeight="1" thickBot="1" x14ac:dyDescent="0.3">
      <c r="A436" s="373" t="s">
        <v>393</v>
      </c>
      <c r="B436" s="382" t="s">
        <v>83</v>
      </c>
      <c r="C436" s="385">
        <v>0</v>
      </c>
      <c r="D436" s="393" t="s">
        <v>198</v>
      </c>
      <c r="E436" s="396" t="s">
        <v>322</v>
      </c>
      <c r="F436" s="388">
        <v>0</v>
      </c>
    </row>
    <row r="437" spans="1:6" ht="14.95" customHeight="1" thickBot="1" x14ac:dyDescent="0.3">
      <c r="A437" s="373" t="s">
        <v>393</v>
      </c>
      <c r="B437" s="382" t="s">
        <v>917</v>
      </c>
      <c r="C437" s="385">
        <v>0</v>
      </c>
      <c r="D437" s="393" t="s">
        <v>269</v>
      </c>
      <c r="E437" s="396" t="s">
        <v>80</v>
      </c>
      <c r="F437" s="388">
        <v>0</v>
      </c>
    </row>
    <row r="438" spans="1:6" ht="14.95" customHeight="1" thickBot="1" x14ac:dyDescent="0.3">
      <c r="A438" s="373" t="s">
        <v>344</v>
      </c>
      <c r="B438" s="375" t="s">
        <v>544</v>
      </c>
      <c r="C438" s="385">
        <v>0</v>
      </c>
      <c r="D438" s="393" t="s">
        <v>459</v>
      </c>
      <c r="E438" s="396" t="s">
        <v>90</v>
      </c>
      <c r="F438" s="388">
        <v>0</v>
      </c>
    </row>
    <row r="439" spans="1:6" ht="14.95" customHeight="1" thickBot="1" x14ac:dyDescent="0.3">
      <c r="A439" s="373" t="s">
        <v>803</v>
      </c>
      <c r="B439" s="382" t="s">
        <v>82</v>
      </c>
      <c r="C439" s="385">
        <v>0</v>
      </c>
      <c r="D439" s="393" t="s">
        <v>154</v>
      </c>
      <c r="E439" s="396" t="s">
        <v>90</v>
      </c>
      <c r="F439" s="388">
        <v>0</v>
      </c>
    </row>
    <row r="440" spans="1:6" ht="14.95" customHeight="1" thickBot="1" x14ac:dyDescent="0.3">
      <c r="A440" s="373" t="s">
        <v>100</v>
      </c>
      <c r="B440" s="382" t="s">
        <v>82</v>
      </c>
      <c r="C440" s="385">
        <v>0</v>
      </c>
      <c r="D440" s="393" t="s">
        <v>393</v>
      </c>
      <c r="E440" s="396" t="s">
        <v>83</v>
      </c>
      <c r="F440" s="388">
        <v>0</v>
      </c>
    </row>
    <row r="441" spans="1:6" ht="14.95" customHeight="1" thickBot="1" x14ac:dyDescent="0.3">
      <c r="A441" s="373" t="s">
        <v>218</v>
      </c>
      <c r="B441" s="382" t="s">
        <v>80</v>
      </c>
      <c r="C441" s="385">
        <v>0</v>
      </c>
      <c r="D441" s="393" t="s">
        <v>393</v>
      </c>
      <c r="E441" s="396" t="s">
        <v>917</v>
      </c>
      <c r="F441" s="388">
        <v>0</v>
      </c>
    </row>
    <row r="442" spans="1:6" ht="14.95" customHeight="1" thickBot="1" x14ac:dyDescent="0.3">
      <c r="A442" s="373" t="s">
        <v>263</v>
      </c>
      <c r="B442" s="382" t="s">
        <v>917</v>
      </c>
      <c r="C442" s="385">
        <v>0</v>
      </c>
      <c r="D442" s="393" t="s">
        <v>344</v>
      </c>
      <c r="E442" s="396" t="s">
        <v>544</v>
      </c>
      <c r="F442" s="388">
        <v>0</v>
      </c>
    </row>
    <row r="443" spans="1:6" ht="14.95" customHeight="1" thickBot="1" x14ac:dyDescent="0.3">
      <c r="A443" s="373" t="s">
        <v>201</v>
      </c>
      <c r="B443" s="375" t="s">
        <v>544</v>
      </c>
      <c r="C443" s="386">
        <v>0</v>
      </c>
      <c r="D443" s="393" t="s">
        <v>803</v>
      </c>
      <c r="E443" s="396" t="s">
        <v>82</v>
      </c>
      <c r="F443" s="388">
        <v>0</v>
      </c>
    </row>
    <row r="444" spans="1:6" ht="14.95" customHeight="1" thickBot="1" x14ac:dyDescent="0.3">
      <c r="A444" s="381" t="s">
        <v>257</v>
      </c>
      <c r="B444" s="375" t="s">
        <v>917</v>
      </c>
      <c r="C444" s="385">
        <v>0</v>
      </c>
      <c r="D444" s="393" t="s">
        <v>100</v>
      </c>
      <c r="E444" s="396" t="s">
        <v>82</v>
      </c>
      <c r="F444" s="388">
        <v>0</v>
      </c>
    </row>
    <row r="445" spans="1:6" ht="14.95" customHeight="1" thickBot="1" x14ac:dyDescent="0.3">
      <c r="A445" s="373" t="s">
        <v>839</v>
      </c>
      <c r="B445" s="382" t="s">
        <v>322</v>
      </c>
      <c r="C445" s="385">
        <v>0</v>
      </c>
      <c r="D445" s="393" t="s">
        <v>218</v>
      </c>
      <c r="E445" s="396" t="s">
        <v>80</v>
      </c>
      <c r="F445" s="388">
        <v>0</v>
      </c>
    </row>
    <row r="446" spans="1:6" ht="14.95" customHeight="1" thickBot="1" x14ac:dyDescent="0.3">
      <c r="A446" s="373" t="s">
        <v>625</v>
      </c>
      <c r="B446" s="382" t="s">
        <v>92</v>
      </c>
      <c r="C446" s="385">
        <v>0</v>
      </c>
      <c r="D446" s="393" t="s">
        <v>263</v>
      </c>
      <c r="E446" s="396" t="s">
        <v>917</v>
      </c>
      <c r="F446" s="388">
        <v>0</v>
      </c>
    </row>
    <row r="447" spans="1:6" ht="14.95" customHeight="1" thickBot="1" x14ac:dyDescent="0.3">
      <c r="A447" s="373" t="s">
        <v>369</v>
      </c>
      <c r="B447" s="382" t="s">
        <v>80</v>
      </c>
      <c r="C447" s="385">
        <v>0</v>
      </c>
      <c r="D447" s="393" t="s">
        <v>201</v>
      </c>
      <c r="E447" s="396" t="s">
        <v>544</v>
      </c>
      <c r="F447" s="388">
        <v>0</v>
      </c>
    </row>
    <row r="448" spans="1:6" ht="14.95" customHeight="1" thickBot="1" x14ac:dyDescent="0.3">
      <c r="A448" s="373" t="s">
        <v>663</v>
      </c>
      <c r="B448" s="382" t="s">
        <v>80</v>
      </c>
      <c r="C448" s="385">
        <v>0</v>
      </c>
      <c r="D448" s="394" t="s">
        <v>257</v>
      </c>
      <c r="E448" s="397" t="s">
        <v>917</v>
      </c>
      <c r="F448" s="388">
        <v>0</v>
      </c>
    </row>
    <row r="449" spans="1:6" ht="14.95" customHeight="1" thickBot="1" x14ac:dyDescent="0.3">
      <c r="A449" s="373" t="s">
        <v>102</v>
      </c>
      <c r="B449" s="382" t="s">
        <v>81</v>
      </c>
      <c r="C449" s="385">
        <v>0</v>
      </c>
      <c r="D449" s="393" t="s">
        <v>839</v>
      </c>
      <c r="E449" s="396" t="s">
        <v>322</v>
      </c>
      <c r="F449" s="388">
        <v>0</v>
      </c>
    </row>
    <row r="450" spans="1:6" ht="14.95" customHeight="1" thickBot="1" x14ac:dyDescent="0.3">
      <c r="A450" s="373" t="s">
        <v>47</v>
      </c>
      <c r="B450" s="382" t="s">
        <v>92</v>
      </c>
      <c r="C450" s="385">
        <v>0</v>
      </c>
      <c r="D450" s="393" t="s">
        <v>625</v>
      </c>
      <c r="E450" s="396" t="s">
        <v>92</v>
      </c>
      <c r="F450" s="388">
        <v>0</v>
      </c>
    </row>
    <row r="451" spans="1:6" ht="14.95" customHeight="1" thickBot="1" x14ac:dyDescent="0.3">
      <c r="A451" s="381" t="s">
        <v>582</v>
      </c>
      <c r="B451" s="375" t="s">
        <v>544</v>
      </c>
      <c r="C451" s="385">
        <v>0</v>
      </c>
      <c r="D451" s="393" t="s">
        <v>369</v>
      </c>
      <c r="E451" s="396" t="s">
        <v>80</v>
      </c>
      <c r="F451" s="388">
        <v>0</v>
      </c>
    </row>
    <row r="452" spans="1:6" ht="14.95" customHeight="1" thickBot="1" x14ac:dyDescent="0.3">
      <c r="A452" s="373" t="s">
        <v>403</v>
      </c>
      <c r="B452" s="382" t="s">
        <v>80</v>
      </c>
      <c r="C452" s="385">
        <v>0</v>
      </c>
      <c r="D452" s="393" t="s">
        <v>663</v>
      </c>
      <c r="E452" s="396" t="s">
        <v>80</v>
      </c>
      <c r="F452" s="388">
        <v>0</v>
      </c>
    </row>
    <row r="453" spans="1:6" ht="14.95" customHeight="1" thickBot="1" x14ac:dyDescent="0.3">
      <c r="A453" s="373" t="s">
        <v>96</v>
      </c>
      <c r="B453" s="382" t="s">
        <v>92</v>
      </c>
      <c r="C453" s="385">
        <v>0</v>
      </c>
      <c r="D453" s="393" t="s">
        <v>102</v>
      </c>
      <c r="E453" s="396" t="s">
        <v>81</v>
      </c>
      <c r="F453" s="388">
        <v>0</v>
      </c>
    </row>
    <row r="454" spans="1:6" ht="14.95" customHeight="1" thickBot="1" x14ac:dyDescent="0.3">
      <c r="A454" s="373" t="s">
        <v>136</v>
      </c>
      <c r="B454" s="382" t="s">
        <v>80</v>
      </c>
      <c r="C454" s="385">
        <v>0</v>
      </c>
      <c r="D454" s="393" t="s">
        <v>47</v>
      </c>
      <c r="E454" s="396" t="s">
        <v>92</v>
      </c>
      <c r="F454" s="388">
        <v>0</v>
      </c>
    </row>
    <row r="455" spans="1:6" ht="14.95" customHeight="1" thickBot="1" x14ac:dyDescent="0.3">
      <c r="A455" s="381" t="s">
        <v>823</v>
      </c>
      <c r="B455" s="375" t="s">
        <v>544</v>
      </c>
      <c r="C455" s="385">
        <v>0</v>
      </c>
      <c r="D455" s="394" t="s">
        <v>582</v>
      </c>
      <c r="E455" s="397" t="s">
        <v>544</v>
      </c>
      <c r="F455" s="388">
        <v>0</v>
      </c>
    </row>
    <row r="456" spans="1:6" ht="14.95" customHeight="1" thickBot="1" x14ac:dyDescent="0.3">
      <c r="A456" s="373" t="s">
        <v>405</v>
      </c>
      <c r="B456" s="382" t="s">
        <v>917</v>
      </c>
      <c r="C456" s="385">
        <v>0</v>
      </c>
      <c r="D456" s="393" t="s">
        <v>403</v>
      </c>
      <c r="E456" s="396" t="s">
        <v>80</v>
      </c>
      <c r="F456" s="388">
        <v>0</v>
      </c>
    </row>
    <row r="457" spans="1:6" ht="14.95" customHeight="1" thickBot="1" x14ac:dyDescent="0.3">
      <c r="A457" s="373" t="s">
        <v>924</v>
      </c>
      <c r="B457" s="375" t="s">
        <v>544</v>
      </c>
      <c r="C457" s="385">
        <f>titcombeleipremcuptries</f>
        <v>0</v>
      </c>
      <c r="D457" s="393" t="s">
        <v>96</v>
      </c>
      <c r="E457" s="396" t="s">
        <v>92</v>
      </c>
      <c r="F457" s="388">
        <v>0</v>
      </c>
    </row>
    <row r="458" spans="1:6" ht="14.95" customHeight="1" thickBot="1" x14ac:dyDescent="0.3">
      <c r="A458" s="377" t="s">
        <v>772</v>
      </c>
      <c r="B458" s="382" t="s">
        <v>322</v>
      </c>
      <c r="C458" s="386">
        <v>0</v>
      </c>
      <c r="D458" s="393" t="s">
        <v>136</v>
      </c>
      <c r="E458" s="396" t="s">
        <v>80</v>
      </c>
      <c r="F458" s="388">
        <v>0</v>
      </c>
    </row>
    <row r="459" spans="1:6" ht="14.95" customHeight="1" thickBot="1" x14ac:dyDescent="0.3">
      <c r="A459" s="373" t="s">
        <v>336</v>
      </c>
      <c r="B459" s="382" t="s">
        <v>322</v>
      </c>
      <c r="C459" s="385">
        <v>0</v>
      </c>
      <c r="D459" s="394" t="s">
        <v>823</v>
      </c>
      <c r="E459" s="397" t="s">
        <v>544</v>
      </c>
      <c r="F459" s="388">
        <v>0</v>
      </c>
    </row>
    <row r="460" spans="1:6" ht="14.95" customHeight="1" thickBot="1" x14ac:dyDescent="0.3">
      <c r="A460" s="373" t="s">
        <v>137</v>
      </c>
      <c r="B460" s="382" t="s">
        <v>90</v>
      </c>
      <c r="C460" s="385">
        <v>0</v>
      </c>
      <c r="D460" s="393" t="s">
        <v>405</v>
      </c>
      <c r="E460" s="396" t="s">
        <v>917</v>
      </c>
      <c r="F460" s="388">
        <v>0</v>
      </c>
    </row>
    <row r="461" spans="1:6" ht="14.95" customHeight="1" thickBot="1" x14ac:dyDescent="0.3">
      <c r="A461" s="381" t="s">
        <v>638</v>
      </c>
      <c r="B461" s="375" t="s">
        <v>92</v>
      </c>
      <c r="C461" s="385">
        <v>0</v>
      </c>
      <c r="D461" s="393" t="s">
        <v>772</v>
      </c>
      <c r="E461" s="396" t="s">
        <v>322</v>
      </c>
      <c r="F461" s="388">
        <v>0</v>
      </c>
    </row>
    <row r="462" spans="1:6" ht="14.95" customHeight="1" thickBot="1" x14ac:dyDescent="0.3">
      <c r="A462" s="373" t="s">
        <v>419</v>
      </c>
      <c r="B462" s="382" t="s">
        <v>90</v>
      </c>
      <c r="C462" s="385">
        <v>0</v>
      </c>
      <c r="D462" s="393" t="s">
        <v>336</v>
      </c>
      <c r="E462" s="396" t="s">
        <v>322</v>
      </c>
      <c r="F462" s="388">
        <v>0</v>
      </c>
    </row>
    <row r="463" spans="1:6" ht="14.95" customHeight="1" thickBot="1" x14ac:dyDescent="0.3">
      <c r="A463" s="373" t="s">
        <v>845</v>
      </c>
      <c r="B463" s="382" t="s">
        <v>90</v>
      </c>
      <c r="C463" s="385">
        <v>0</v>
      </c>
      <c r="D463" s="393" t="s">
        <v>137</v>
      </c>
      <c r="E463" s="396" t="s">
        <v>90</v>
      </c>
      <c r="F463" s="388">
        <v>0</v>
      </c>
    </row>
    <row r="464" spans="1:6" ht="14.95" customHeight="1" thickBot="1" x14ac:dyDescent="0.3">
      <c r="A464" s="373" t="s">
        <v>859</v>
      </c>
      <c r="B464" s="382" t="s">
        <v>322</v>
      </c>
      <c r="C464" s="385">
        <v>0</v>
      </c>
      <c r="D464" s="393" t="s">
        <v>638</v>
      </c>
      <c r="E464" s="396" t="s">
        <v>92</v>
      </c>
      <c r="F464" s="388">
        <v>0</v>
      </c>
    </row>
    <row r="465" spans="1:6" ht="14.95" customHeight="1" thickBot="1" x14ac:dyDescent="0.3">
      <c r="A465" s="373" t="s">
        <v>207</v>
      </c>
      <c r="B465" s="382" t="s">
        <v>80</v>
      </c>
      <c r="C465" s="385">
        <v>0</v>
      </c>
      <c r="D465" s="393" t="s">
        <v>419</v>
      </c>
      <c r="E465" s="396" t="s">
        <v>90</v>
      </c>
      <c r="F465" s="388">
        <v>0</v>
      </c>
    </row>
    <row r="466" spans="1:6" ht="14.95" customHeight="1" thickBot="1" x14ac:dyDescent="0.3">
      <c r="A466" s="373" t="s">
        <v>626</v>
      </c>
      <c r="B466" s="382" t="s">
        <v>92</v>
      </c>
      <c r="C466" s="385">
        <v>0</v>
      </c>
      <c r="D466" s="393" t="s">
        <v>845</v>
      </c>
      <c r="E466" s="396" t="s">
        <v>90</v>
      </c>
      <c r="F466" s="388">
        <v>0</v>
      </c>
    </row>
    <row r="467" spans="1:6" ht="14.95" customHeight="1" thickBot="1" x14ac:dyDescent="0.3">
      <c r="A467" s="373" t="s">
        <v>712</v>
      </c>
      <c r="B467" s="382" t="s">
        <v>917</v>
      </c>
      <c r="C467" s="385">
        <v>0</v>
      </c>
      <c r="D467" s="393" t="s">
        <v>859</v>
      </c>
      <c r="E467" s="396" t="s">
        <v>322</v>
      </c>
      <c r="F467" s="388">
        <v>0</v>
      </c>
    </row>
    <row r="468" spans="1:6" ht="14.95" customHeight="1" thickBot="1" x14ac:dyDescent="0.3">
      <c r="A468" s="381" t="s">
        <v>627</v>
      </c>
      <c r="B468" s="375" t="s">
        <v>92</v>
      </c>
      <c r="C468" s="385">
        <v>0</v>
      </c>
      <c r="D468" s="393" t="s">
        <v>207</v>
      </c>
      <c r="E468" s="396" t="s">
        <v>80</v>
      </c>
      <c r="F468" s="388">
        <v>0</v>
      </c>
    </row>
    <row r="469" spans="1:6" ht="14.95" thickBot="1" x14ac:dyDescent="0.3">
      <c r="A469" s="373" t="s">
        <v>138</v>
      </c>
      <c r="B469" s="382" t="s">
        <v>82</v>
      </c>
      <c r="C469" s="385">
        <v>0</v>
      </c>
      <c r="D469" s="393" t="s">
        <v>626</v>
      </c>
      <c r="E469" s="396" t="s">
        <v>92</v>
      </c>
      <c r="F469" s="388">
        <v>0</v>
      </c>
    </row>
    <row r="470" spans="1:6" ht="14.95" customHeight="1" thickBot="1" x14ac:dyDescent="0.3">
      <c r="A470" s="381" t="s">
        <v>821</v>
      </c>
      <c r="B470" s="375" t="s">
        <v>544</v>
      </c>
      <c r="C470" s="385">
        <v>0</v>
      </c>
      <c r="D470" s="393" t="s">
        <v>712</v>
      </c>
      <c r="E470" s="396" t="s">
        <v>917</v>
      </c>
      <c r="F470" s="388">
        <v>0</v>
      </c>
    </row>
    <row r="471" spans="1:6" ht="14.95" thickBot="1" x14ac:dyDescent="0.3">
      <c r="A471" s="373" t="s">
        <v>259</v>
      </c>
      <c r="B471" s="382" t="s">
        <v>917</v>
      </c>
      <c r="C471" s="385">
        <v>0</v>
      </c>
      <c r="D471" s="394" t="s">
        <v>627</v>
      </c>
      <c r="E471" s="397" t="s">
        <v>92</v>
      </c>
      <c r="F471" s="388">
        <v>0</v>
      </c>
    </row>
    <row r="472" spans="1:6" ht="14.95" thickBot="1" x14ac:dyDescent="0.3">
      <c r="A472" s="381" t="s">
        <v>283</v>
      </c>
      <c r="B472" s="375" t="s">
        <v>544</v>
      </c>
      <c r="C472" s="385">
        <v>0</v>
      </c>
      <c r="D472" s="393" t="s">
        <v>138</v>
      </c>
      <c r="E472" s="396" t="s">
        <v>82</v>
      </c>
      <c r="F472" s="388">
        <v>0</v>
      </c>
    </row>
    <row r="473" spans="1:6" ht="14.95" thickBot="1" x14ac:dyDescent="0.3">
      <c r="A473" s="373" t="s">
        <v>747</v>
      </c>
      <c r="B473" s="382" t="s">
        <v>81</v>
      </c>
      <c r="C473" s="385">
        <v>0</v>
      </c>
      <c r="D473" s="394" t="s">
        <v>821</v>
      </c>
      <c r="E473" s="397" t="s">
        <v>544</v>
      </c>
      <c r="F473" s="388">
        <v>0</v>
      </c>
    </row>
    <row r="474" spans="1:6" ht="14.95" thickBot="1" x14ac:dyDescent="0.3">
      <c r="A474" s="373" t="s">
        <v>139</v>
      </c>
      <c r="B474" s="382" t="s">
        <v>82</v>
      </c>
      <c r="C474" s="385">
        <v>0</v>
      </c>
      <c r="D474" s="393" t="s">
        <v>259</v>
      </c>
      <c r="E474" s="396" t="s">
        <v>917</v>
      </c>
      <c r="F474" s="388">
        <v>0</v>
      </c>
    </row>
    <row r="475" spans="1:6" ht="14.95" customHeight="1" thickBot="1" x14ac:dyDescent="0.3">
      <c r="A475" s="373" t="s">
        <v>394</v>
      </c>
      <c r="B475" s="375" t="s">
        <v>544</v>
      </c>
      <c r="C475" s="385">
        <v>0</v>
      </c>
      <c r="D475" s="393" t="s">
        <v>283</v>
      </c>
      <c r="E475" s="396" t="s">
        <v>544</v>
      </c>
      <c r="F475" s="388">
        <v>0</v>
      </c>
    </row>
    <row r="476" spans="1:6" ht="14.95" customHeight="1" thickBot="1" x14ac:dyDescent="0.3">
      <c r="A476" s="373" t="s">
        <v>209</v>
      </c>
      <c r="B476" s="382" t="s">
        <v>80</v>
      </c>
      <c r="C476" s="385">
        <v>0</v>
      </c>
      <c r="D476" s="393" t="s">
        <v>747</v>
      </c>
      <c r="E476" s="396" t="s">
        <v>81</v>
      </c>
      <c r="F476" s="388">
        <v>0</v>
      </c>
    </row>
    <row r="477" spans="1:6" ht="14.95" customHeight="1" thickBot="1" x14ac:dyDescent="0.3">
      <c r="A477" s="373" t="s">
        <v>140</v>
      </c>
      <c r="B477" s="382" t="s">
        <v>82</v>
      </c>
      <c r="C477" s="385">
        <v>0</v>
      </c>
      <c r="D477" s="393" t="s">
        <v>139</v>
      </c>
      <c r="E477" s="396" t="s">
        <v>82</v>
      </c>
      <c r="F477" s="388">
        <v>0</v>
      </c>
    </row>
    <row r="478" spans="1:6" ht="14.95" customHeight="1" thickBot="1" x14ac:dyDescent="0.3">
      <c r="A478" s="373" t="s">
        <v>180</v>
      </c>
      <c r="B478" s="382" t="s">
        <v>90</v>
      </c>
      <c r="C478" s="385">
        <v>0</v>
      </c>
      <c r="D478" s="393" t="s">
        <v>394</v>
      </c>
      <c r="E478" s="396" t="s">
        <v>544</v>
      </c>
      <c r="F478" s="388">
        <v>0</v>
      </c>
    </row>
    <row r="479" spans="1:6" ht="14.95" customHeight="1" thickBot="1" x14ac:dyDescent="0.3">
      <c r="A479" s="373" t="s">
        <v>538</v>
      </c>
      <c r="B479" s="382" t="s">
        <v>90</v>
      </c>
      <c r="C479" s="385">
        <v>0</v>
      </c>
      <c r="D479" s="393" t="s">
        <v>209</v>
      </c>
      <c r="E479" s="396" t="s">
        <v>80</v>
      </c>
      <c r="F479" s="388">
        <v>0</v>
      </c>
    </row>
    <row r="480" spans="1:6" ht="14.95" customHeight="1" thickBot="1" x14ac:dyDescent="0.3">
      <c r="A480" s="373" t="s">
        <v>656</v>
      </c>
      <c r="B480" s="382" t="s">
        <v>80</v>
      </c>
      <c r="C480" s="385">
        <v>0</v>
      </c>
      <c r="D480" s="393" t="s">
        <v>140</v>
      </c>
      <c r="E480" s="396" t="s">
        <v>82</v>
      </c>
      <c r="F480" s="388">
        <v>0</v>
      </c>
    </row>
    <row r="481" spans="1:6" ht="14.95" customHeight="1" thickBot="1" x14ac:dyDescent="0.3">
      <c r="A481" s="373" t="s">
        <v>787</v>
      </c>
      <c r="B481" s="375" t="s">
        <v>544</v>
      </c>
      <c r="C481" s="385">
        <v>0</v>
      </c>
      <c r="D481" s="393" t="s">
        <v>180</v>
      </c>
      <c r="E481" s="396" t="s">
        <v>90</v>
      </c>
      <c r="F481" s="388">
        <v>0</v>
      </c>
    </row>
    <row r="482" spans="1:6" ht="14.95" customHeight="1" thickBot="1" x14ac:dyDescent="0.3">
      <c r="A482" s="373" t="s">
        <v>665</v>
      </c>
      <c r="B482" s="382" t="s">
        <v>80</v>
      </c>
      <c r="C482" s="385">
        <v>0</v>
      </c>
      <c r="D482" s="393" t="s">
        <v>538</v>
      </c>
      <c r="E482" s="396" t="s">
        <v>90</v>
      </c>
      <c r="F482" s="388">
        <v>0</v>
      </c>
    </row>
    <row r="483" spans="1:6" ht="14.95" customHeight="1" thickBot="1" x14ac:dyDescent="0.3">
      <c r="A483" s="373" t="s">
        <v>875</v>
      </c>
      <c r="B483" s="382" t="s">
        <v>89</v>
      </c>
      <c r="C483" s="385">
        <v>0</v>
      </c>
      <c r="D483" s="393" t="s">
        <v>656</v>
      </c>
      <c r="E483" s="396" t="s">
        <v>80</v>
      </c>
      <c r="F483" s="388">
        <v>0</v>
      </c>
    </row>
    <row r="484" spans="1:6" ht="14.95" customHeight="1" thickBot="1" x14ac:dyDescent="0.3">
      <c r="A484" s="373" t="s">
        <v>886</v>
      </c>
      <c r="B484" s="382" t="s">
        <v>80</v>
      </c>
      <c r="C484" s="385">
        <v>0</v>
      </c>
      <c r="D484" s="393" t="s">
        <v>787</v>
      </c>
      <c r="E484" s="396" t="s">
        <v>544</v>
      </c>
      <c r="F484" s="388">
        <v>0</v>
      </c>
    </row>
    <row r="485" spans="1:6" ht="14.95" customHeight="1" thickBot="1" x14ac:dyDescent="0.3">
      <c r="A485" s="373" t="s">
        <v>745</v>
      </c>
      <c r="B485" s="373" t="s">
        <v>81</v>
      </c>
      <c r="C485" s="385">
        <v>0</v>
      </c>
      <c r="D485" s="393" t="s">
        <v>665</v>
      </c>
      <c r="E485" s="396" t="s">
        <v>80</v>
      </c>
      <c r="F485" s="391">
        <v>0</v>
      </c>
    </row>
    <row r="486" spans="1:6" ht="14.95" customHeight="1" thickBot="1" x14ac:dyDescent="0.3">
      <c r="A486" s="373" t="s">
        <v>355</v>
      </c>
      <c r="B486" s="373" t="s">
        <v>81</v>
      </c>
      <c r="C486" s="385">
        <v>0</v>
      </c>
      <c r="D486" s="393" t="s">
        <v>875</v>
      </c>
      <c r="E486" s="396" t="s">
        <v>89</v>
      </c>
      <c r="F486" s="388">
        <v>0</v>
      </c>
    </row>
    <row r="487" spans="1:6" ht="14.95" customHeight="1" thickBot="1" x14ac:dyDescent="0.3">
      <c r="A487" s="373" t="s">
        <v>151</v>
      </c>
      <c r="B487" s="381" t="s">
        <v>544</v>
      </c>
      <c r="C487" s="385">
        <v>0</v>
      </c>
      <c r="D487" s="393" t="s">
        <v>886</v>
      </c>
      <c r="E487" s="393" t="s">
        <v>80</v>
      </c>
      <c r="F487" s="388">
        <v>0</v>
      </c>
    </row>
    <row r="488" spans="1:6" ht="14.95" customHeight="1" thickBot="1" x14ac:dyDescent="0.3">
      <c r="A488" s="373" t="s">
        <v>735</v>
      </c>
      <c r="B488" s="373" t="s">
        <v>83</v>
      </c>
      <c r="C488" s="385">
        <v>0</v>
      </c>
      <c r="D488" s="393" t="s">
        <v>745</v>
      </c>
      <c r="E488" s="393" t="s">
        <v>81</v>
      </c>
      <c r="F488" s="388">
        <v>0</v>
      </c>
    </row>
    <row r="489" spans="1:6" ht="14.95" customHeight="1" thickBot="1" x14ac:dyDescent="0.3">
      <c r="A489" s="373" t="s">
        <v>1049</v>
      </c>
      <c r="B489" s="373" t="s">
        <v>92</v>
      </c>
      <c r="C489" s="385">
        <f>westonbripremcuptries</f>
        <v>0</v>
      </c>
      <c r="D489" s="393" t="s">
        <v>355</v>
      </c>
      <c r="E489" s="393" t="s">
        <v>81</v>
      </c>
      <c r="F489" s="388">
        <v>0</v>
      </c>
    </row>
    <row r="490" spans="1:6" ht="14.95" thickBot="1" x14ac:dyDescent="0.3">
      <c r="A490" s="373" t="s">
        <v>345</v>
      </c>
      <c r="B490" s="381" t="s">
        <v>544</v>
      </c>
      <c r="C490" s="385">
        <f>woodwardleipremcuptries</f>
        <v>0</v>
      </c>
      <c r="D490" s="393" t="s">
        <v>151</v>
      </c>
      <c r="E490" s="393" t="s">
        <v>544</v>
      </c>
      <c r="F490" s="388">
        <v>0</v>
      </c>
    </row>
    <row r="491" spans="1:6" ht="29.25" thickBot="1" x14ac:dyDescent="0.3">
      <c r="A491" s="373" t="s">
        <v>244</v>
      </c>
      <c r="B491" s="373" t="s">
        <v>89</v>
      </c>
      <c r="C491" s="385">
        <v>0</v>
      </c>
      <c r="D491" s="393" t="s">
        <v>735</v>
      </c>
      <c r="E491" s="393" t="s">
        <v>83</v>
      </c>
      <c r="F491" s="388">
        <v>0</v>
      </c>
    </row>
    <row r="492" spans="1:6" ht="14.95" thickBot="1" x14ac:dyDescent="0.3">
      <c r="A492" s="373" t="s">
        <v>713</v>
      </c>
      <c r="B492" s="373" t="s">
        <v>917</v>
      </c>
      <c r="C492" s="385">
        <v>0</v>
      </c>
      <c r="D492" s="393" t="s">
        <v>345</v>
      </c>
      <c r="E492" s="393" t="s">
        <v>544</v>
      </c>
      <c r="F492" s="388">
        <v>0</v>
      </c>
    </row>
    <row r="493" spans="1:6" ht="14.95" customHeight="1" thickBot="1" x14ac:dyDescent="0.3">
      <c r="A493" s="373" t="s">
        <v>187</v>
      </c>
      <c r="B493" s="373" t="s">
        <v>92</v>
      </c>
      <c r="C493" s="385">
        <v>0</v>
      </c>
      <c r="D493" s="393" t="s">
        <v>244</v>
      </c>
      <c r="E493" s="393" t="s">
        <v>89</v>
      </c>
      <c r="F493" s="388">
        <v>0</v>
      </c>
    </row>
    <row r="494" spans="1:6" ht="14.95" customHeight="1" thickBot="1" x14ac:dyDescent="0.3">
      <c r="A494" s="373" t="s">
        <v>691</v>
      </c>
      <c r="B494" s="381" t="s">
        <v>544</v>
      </c>
      <c r="C494" s="386">
        <v>0</v>
      </c>
      <c r="D494" s="393" t="s">
        <v>713</v>
      </c>
      <c r="E494" s="393" t="s">
        <v>917</v>
      </c>
      <c r="F494" s="388">
        <v>0</v>
      </c>
    </row>
    <row r="495" spans="1:6" ht="14.95" customHeight="1" thickBot="1" x14ac:dyDescent="0.3">
      <c r="A495" s="373" t="s">
        <v>666</v>
      </c>
      <c r="B495" s="373" t="s">
        <v>80</v>
      </c>
      <c r="C495" s="385">
        <v>0</v>
      </c>
      <c r="D495" s="393" t="s">
        <v>187</v>
      </c>
      <c r="E495" s="393" t="s">
        <v>92</v>
      </c>
      <c r="F495" s="388">
        <v>0</v>
      </c>
    </row>
    <row r="496" spans="1:6" ht="14.95" customHeight="1" thickBot="1" x14ac:dyDescent="0.3">
      <c r="A496" s="373" t="s">
        <v>754</v>
      </c>
      <c r="B496" s="373" t="s">
        <v>81</v>
      </c>
      <c r="C496" s="385">
        <v>0</v>
      </c>
      <c r="D496" s="393" t="s">
        <v>691</v>
      </c>
      <c r="E496" s="393" t="s">
        <v>544</v>
      </c>
      <c r="F496" s="388">
        <v>0</v>
      </c>
    </row>
    <row r="497" spans="1:6" ht="14.95" thickBot="1" x14ac:dyDescent="0.3">
      <c r="A497" s="373" t="s">
        <v>773</v>
      </c>
      <c r="B497" s="373" t="s">
        <v>322</v>
      </c>
      <c r="C497" s="385">
        <v>0</v>
      </c>
      <c r="D497" s="393" t="s">
        <v>666</v>
      </c>
      <c r="E497" s="393" t="s">
        <v>80</v>
      </c>
      <c r="F497" s="388">
        <v>0</v>
      </c>
    </row>
    <row r="498" spans="1:6" ht="14.95" customHeight="1" thickBot="1" x14ac:dyDescent="0.3">
      <c r="A498" s="373" t="s">
        <v>869</v>
      </c>
      <c r="B498" s="373" t="s">
        <v>322</v>
      </c>
      <c r="C498" s="386">
        <v>0</v>
      </c>
      <c r="D498" s="393" t="s">
        <v>754</v>
      </c>
      <c r="E498" s="393" t="s">
        <v>81</v>
      </c>
      <c r="F498" s="388">
        <v>0</v>
      </c>
    </row>
    <row r="499" spans="1:6" ht="14.95" customHeight="1" thickBot="1" x14ac:dyDescent="0.3">
      <c r="A499" s="381" t="s">
        <v>561</v>
      </c>
      <c r="B499" s="381" t="s">
        <v>90</v>
      </c>
      <c r="C499" s="385">
        <v>0</v>
      </c>
      <c r="D499" s="393" t="s">
        <v>773</v>
      </c>
      <c r="E499" s="393" t="s">
        <v>322</v>
      </c>
      <c r="F499" s="388">
        <v>0</v>
      </c>
    </row>
    <row r="500" spans="1:6" ht="14.95" customHeight="1" thickBot="1" x14ac:dyDescent="0.3">
      <c r="A500" s="373" t="s">
        <v>880</v>
      </c>
      <c r="B500" s="373" t="s">
        <v>83</v>
      </c>
      <c r="C500" s="385">
        <v>0</v>
      </c>
      <c r="D500" s="393" t="s">
        <v>869</v>
      </c>
      <c r="E500" s="393" t="s">
        <v>322</v>
      </c>
      <c r="F500" s="388">
        <v>0</v>
      </c>
    </row>
    <row r="501" spans="1:6" ht="14.95" customHeight="1" thickBot="1" x14ac:dyDescent="0.3">
      <c r="A501" s="377" t="s">
        <v>620</v>
      </c>
      <c r="B501" s="377" t="s">
        <v>92</v>
      </c>
      <c r="C501" s="385">
        <v>0</v>
      </c>
      <c r="D501" s="394" t="s">
        <v>561</v>
      </c>
      <c r="E501" s="394" t="s">
        <v>90</v>
      </c>
      <c r="F501" s="388">
        <v>0</v>
      </c>
    </row>
    <row r="502" spans="1:6" ht="29.25" thickBot="1" x14ac:dyDescent="0.3">
      <c r="A502" s="373" t="s">
        <v>141</v>
      </c>
      <c r="B502" s="373" t="s">
        <v>90</v>
      </c>
      <c r="C502" s="385">
        <v>0</v>
      </c>
      <c r="D502" s="393" t="s">
        <v>880</v>
      </c>
      <c r="E502" s="393" t="s">
        <v>83</v>
      </c>
      <c r="F502" s="388">
        <v>0</v>
      </c>
    </row>
    <row r="503" spans="1:6" ht="14.95" thickBot="1" x14ac:dyDescent="0.3">
      <c r="A503" s="373" t="s">
        <v>755</v>
      </c>
      <c r="B503" s="373" t="s">
        <v>81</v>
      </c>
      <c r="C503" s="385">
        <v>0</v>
      </c>
      <c r="D503" s="395" t="s">
        <v>620</v>
      </c>
      <c r="E503" s="395" t="s">
        <v>92</v>
      </c>
      <c r="F503" s="388">
        <v>0</v>
      </c>
    </row>
    <row r="504" spans="1:6" ht="14.95" thickBot="1" x14ac:dyDescent="0.3">
      <c r="A504" s="373" t="s">
        <v>900</v>
      </c>
      <c r="B504" s="381" t="s">
        <v>544</v>
      </c>
      <c r="C504" s="385">
        <v>0</v>
      </c>
      <c r="D504" s="393" t="s">
        <v>141</v>
      </c>
      <c r="E504" s="393" t="s">
        <v>90</v>
      </c>
      <c r="F504" s="388">
        <v>0</v>
      </c>
    </row>
    <row r="505" spans="1:6" ht="14.95" thickBot="1" x14ac:dyDescent="0.3">
      <c r="A505" s="373" t="s">
        <v>142</v>
      </c>
      <c r="B505" s="373" t="s">
        <v>92</v>
      </c>
      <c r="C505" s="385">
        <v>0</v>
      </c>
      <c r="D505" s="393" t="s">
        <v>755</v>
      </c>
      <c r="E505" s="393" t="s">
        <v>81</v>
      </c>
      <c r="F505" s="388">
        <v>0</v>
      </c>
    </row>
    <row r="506" spans="1:6" ht="14.95" thickBot="1" x14ac:dyDescent="0.3">
      <c r="A506" s="373" t="s">
        <v>737</v>
      </c>
      <c r="B506" s="373" t="s">
        <v>92</v>
      </c>
      <c r="C506" s="385">
        <f>Worsleybripremcuptries</f>
        <v>0</v>
      </c>
      <c r="D506" s="393" t="s">
        <v>142</v>
      </c>
      <c r="E506" s="393" t="s">
        <v>92</v>
      </c>
      <c r="F506" s="388">
        <v>0</v>
      </c>
    </row>
    <row r="507" spans="1:6" ht="14.95" thickBot="1" x14ac:dyDescent="0.3">
      <c r="A507" s="373" t="s">
        <v>179</v>
      </c>
      <c r="B507" s="373" t="s">
        <v>90</v>
      </c>
      <c r="C507" s="385">
        <v>0</v>
      </c>
      <c r="D507" s="393" t="s">
        <v>179</v>
      </c>
      <c r="E507" s="393" t="s">
        <v>90</v>
      </c>
      <c r="F507" s="388">
        <v>0</v>
      </c>
    </row>
    <row r="508" spans="1:6" ht="14.95" thickBot="1" x14ac:dyDescent="0.3">
      <c r="A508" s="373" t="s">
        <v>143</v>
      </c>
      <c r="B508" s="373" t="s">
        <v>90</v>
      </c>
      <c r="C508" s="385">
        <v>0</v>
      </c>
      <c r="D508" s="393" t="s">
        <v>143</v>
      </c>
      <c r="E508" s="393" t="s">
        <v>90</v>
      </c>
      <c r="F508" s="388">
        <v>0</v>
      </c>
    </row>
    <row r="509" spans="1:6" ht="14.95" thickBot="1" x14ac:dyDescent="0.3">
      <c r="A509" s="373" t="s">
        <v>86</v>
      </c>
      <c r="B509" s="381" t="s">
        <v>544</v>
      </c>
      <c r="C509" s="385">
        <v>0</v>
      </c>
      <c r="D509" s="393" t="s">
        <v>86</v>
      </c>
      <c r="E509" s="393" t="s">
        <v>544</v>
      </c>
      <c r="F509" s="388">
        <v>0</v>
      </c>
    </row>
    <row r="510" spans="1:6" ht="14.95" thickBot="1" x14ac:dyDescent="0.3">
      <c r="A510" s="375" t="s">
        <v>13</v>
      </c>
      <c r="B510" s="375"/>
      <c r="C510" s="375">
        <f>SUM(C4:C509)</f>
        <v>137</v>
      </c>
      <c r="D510" s="397" t="s">
        <v>13</v>
      </c>
      <c r="E510" s="397"/>
      <c r="F510" s="397">
        <f>SUM(F4:F509)</f>
        <v>905</v>
      </c>
    </row>
    <row r="511" spans="1:6" x14ac:dyDescent="0.25">
      <c r="A511" s="455" t="s">
        <v>34</v>
      </c>
      <c r="B511" s="456"/>
    </row>
  </sheetData>
  <sortState xmlns:xlrd2="http://schemas.microsoft.com/office/spreadsheetml/2017/richdata2" ref="G4:K30">
    <sortCondition sortBy="fontColor" ref="J4:J30" dxfId="0"/>
    <sortCondition descending="1" ref="K4:K30"/>
    <sortCondition descending="1" ref="J4:J30"/>
    <sortCondition ref="G4:G30"/>
  </sortState>
  <mergeCells count="3">
    <mergeCell ref="G3:H3"/>
    <mergeCell ref="A1:C1"/>
    <mergeCell ref="A511:B5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18"/>
  <sheetViews>
    <sheetView workbookViewId="0">
      <selection activeCell="Z20" sqref="Z20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4.75" customWidth="1"/>
    <col min="18" max="18" width="5.875" bestFit="1" customWidth="1"/>
    <col min="19" max="31" width="4.75" customWidth="1"/>
    <col min="32" max="46" width="5.75" customWidth="1"/>
    <col min="47" max="55" width="5.625" customWidth="1"/>
  </cols>
  <sheetData>
    <row r="1" spans="1:64" ht="14.95" customHeight="1" thickBot="1" x14ac:dyDescent="0.3">
      <c r="A1" s="497" t="s">
        <v>933</v>
      </c>
      <c r="B1" s="498"/>
      <c r="C1" s="498"/>
      <c r="D1" s="498"/>
      <c r="E1" s="498"/>
      <c r="F1" s="498"/>
      <c r="G1" s="498"/>
      <c r="H1" s="498"/>
      <c r="I1" s="498"/>
      <c r="J1" s="499"/>
      <c r="K1" s="494" t="s">
        <v>194</v>
      </c>
      <c r="L1" s="481" t="s">
        <v>14</v>
      </c>
      <c r="M1" s="482"/>
      <c r="N1" s="483"/>
      <c r="O1" s="481" t="s">
        <v>97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160"/>
      <c r="AB1" s="160"/>
      <c r="AC1" s="457" t="s">
        <v>601</v>
      </c>
      <c r="AD1" s="458"/>
      <c r="AE1" s="459"/>
      <c r="AF1" s="457" t="s">
        <v>494</v>
      </c>
      <c r="AG1" s="458"/>
      <c r="AH1" s="459"/>
      <c r="AI1" s="457" t="s">
        <v>407</v>
      </c>
      <c r="AJ1" s="458"/>
      <c r="AK1" s="459"/>
      <c r="AL1" s="457" t="s">
        <v>313</v>
      </c>
      <c r="AM1" s="458"/>
      <c r="AN1" s="459"/>
      <c r="AO1" s="465" t="s">
        <v>227</v>
      </c>
      <c r="AP1" s="466"/>
      <c r="AQ1" s="467"/>
      <c r="AR1" s="465" t="s">
        <v>172</v>
      </c>
      <c r="AS1" s="466"/>
      <c r="AT1" s="467"/>
      <c r="AU1" s="465" t="s">
        <v>79</v>
      </c>
      <c r="AV1" s="466"/>
      <c r="AW1" s="467"/>
      <c r="AX1" s="465" t="s">
        <v>54</v>
      </c>
      <c r="AY1" s="466"/>
      <c r="AZ1" s="467"/>
      <c r="BA1" s="465" t="s">
        <v>50</v>
      </c>
      <c r="BB1" s="466"/>
      <c r="BC1" s="467"/>
      <c r="BD1" s="4"/>
      <c r="BE1" s="4"/>
      <c r="BF1" s="4"/>
      <c r="BI1" s="4"/>
    </row>
    <row r="2" spans="1:64" ht="14.95" customHeight="1" thickBot="1" x14ac:dyDescent="0.3">
      <c r="A2" s="417" t="s">
        <v>0</v>
      </c>
      <c r="B2" s="418" t="s">
        <v>226</v>
      </c>
      <c r="C2" s="419" t="s">
        <v>30</v>
      </c>
      <c r="D2" s="420" t="s">
        <v>339</v>
      </c>
      <c r="E2" s="108" t="s">
        <v>1</v>
      </c>
      <c r="F2" s="299" t="s">
        <v>2</v>
      </c>
      <c r="G2" s="137" t="s">
        <v>226</v>
      </c>
      <c r="H2" s="326" t="s">
        <v>30</v>
      </c>
      <c r="I2" s="213" t="s">
        <v>339</v>
      </c>
      <c r="J2" s="138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195"/>
      <c r="AA2" s="160"/>
      <c r="AB2" s="160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468"/>
      <c r="AP2" s="469"/>
      <c r="AQ2" s="470"/>
      <c r="AR2" s="468"/>
      <c r="AS2" s="469"/>
      <c r="AT2" s="470"/>
      <c r="AU2" s="468"/>
      <c r="AV2" s="469"/>
      <c r="AW2" s="470"/>
      <c r="AX2" s="468"/>
      <c r="AY2" s="469"/>
      <c r="AZ2" s="470"/>
      <c r="BA2" s="468"/>
      <c r="BB2" s="469"/>
      <c r="BC2" s="470"/>
      <c r="BG2" s="4"/>
      <c r="BH2" s="4"/>
      <c r="BI2" s="4"/>
      <c r="BJ2" s="4"/>
      <c r="BK2" s="4"/>
      <c r="BL2" s="4"/>
    </row>
    <row r="3" spans="1:64" ht="14.95" customHeight="1" thickBot="1" x14ac:dyDescent="0.3">
      <c r="A3" s="311" t="s">
        <v>642</v>
      </c>
      <c r="B3" s="144">
        <v>0</v>
      </c>
      <c r="C3" s="421">
        <v>0</v>
      </c>
      <c r="D3" s="422">
        <v>0</v>
      </c>
      <c r="E3" s="75">
        <f t="shared" ref="E3:E57" si="0">SUM(B3:D3)</f>
        <v>0</v>
      </c>
      <c r="F3" s="300" t="s">
        <v>642</v>
      </c>
      <c r="G3" s="135">
        <v>0</v>
      </c>
      <c r="H3" s="327">
        <v>0</v>
      </c>
      <c r="I3" s="214">
        <v>0</v>
      </c>
      <c r="J3" s="136">
        <f t="shared" ref="J3:J57" si="1"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158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94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</row>
    <row r="4" spans="1:64" ht="14.95" customHeight="1" thickBot="1" x14ac:dyDescent="0.3">
      <c r="A4" s="311" t="s">
        <v>611</v>
      </c>
      <c r="B4" s="144">
        <v>0</v>
      </c>
      <c r="C4" s="421">
        <v>0</v>
      </c>
      <c r="D4" s="422">
        <v>0</v>
      </c>
      <c r="E4" s="75">
        <f t="shared" si="0"/>
        <v>0</v>
      </c>
      <c r="F4" s="300" t="s">
        <v>611</v>
      </c>
      <c r="G4" s="135">
        <v>0</v>
      </c>
      <c r="H4" s="327">
        <v>0</v>
      </c>
      <c r="I4" s="214">
        <v>0</v>
      </c>
      <c r="J4" s="136">
        <f t="shared" si="1"/>
        <v>0</v>
      </c>
      <c r="K4" s="417" t="s">
        <v>811</v>
      </c>
      <c r="L4" s="423" t="s">
        <v>15</v>
      </c>
      <c r="M4" s="423" t="s">
        <v>15</v>
      </c>
      <c r="N4" s="424" t="s">
        <v>15</v>
      </c>
      <c r="O4" s="423" t="s">
        <v>15</v>
      </c>
      <c r="P4" s="423" t="s">
        <v>15</v>
      </c>
      <c r="Q4" s="424" t="s">
        <v>15</v>
      </c>
      <c r="R4" s="108" t="s">
        <v>19</v>
      </c>
      <c r="S4" s="108">
        <v>-1</v>
      </c>
      <c r="T4" s="6" t="s">
        <v>15</v>
      </c>
      <c r="U4" s="6" t="s">
        <v>15</v>
      </c>
      <c r="V4" s="157" t="s">
        <v>15</v>
      </c>
      <c r="W4" s="6" t="s">
        <v>15</v>
      </c>
      <c r="X4" s="6" t="s">
        <v>15</v>
      </c>
      <c r="Y4" s="157" t="s">
        <v>15</v>
      </c>
      <c r="Z4" s="93"/>
      <c r="AA4" s="94"/>
      <c r="AB4" s="94"/>
      <c r="AC4" s="6" t="s">
        <v>15</v>
      </c>
      <c r="AD4" s="6" t="s">
        <v>15</v>
      </c>
      <c r="AE4" s="157" t="s">
        <v>15</v>
      </c>
      <c r="AF4" s="6" t="s">
        <v>15</v>
      </c>
      <c r="AG4" s="6" t="s">
        <v>15</v>
      </c>
      <c r="AH4" s="157" t="s">
        <v>15</v>
      </c>
      <c r="AI4" s="6" t="s">
        <v>15</v>
      </c>
      <c r="AJ4" s="6" t="s">
        <v>15</v>
      </c>
      <c r="AK4" s="157" t="s">
        <v>15</v>
      </c>
      <c r="AL4" s="6" t="s">
        <v>15</v>
      </c>
      <c r="AM4" s="6" t="s">
        <v>15</v>
      </c>
      <c r="AN4" s="157" t="s">
        <v>15</v>
      </c>
      <c r="AO4" s="6" t="s">
        <v>15</v>
      </c>
      <c r="AP4" s="6" t="s">
        <v>15</v>
      </c>
      <c r="AQ4" s="157" t="s">
        <v>15</v>
      </c>
      <c r="AR4" s="6" t="s">
        <v>15</v>
      </c>
      <c r="AS4" s="6" t="s">
        <v>15</v>
      </c>
      <c r="AT4" s="157" t="s">
        <v>15</v>
      </c>
      <c r="AU4" s="6" t="s">
        <v>15</v>
      </c>
      <c r="AV4" s="6" t="s">
        <v>15</v>
      </c>
      <c r="AW4" s="157" t="s">
        <v>15</v>
      </c>
      <c r="AX4" s="6" t="s">
        <v>15</v>
      </c>
      <c r="AY4" s="6" t="s">
        <v>15</v>
      </c>
      <c r="AZ4" s="157" t="s">
        <v>15</v>
      </c>
      <c r="BA4" s="6" t="s">
        <v>15</v>
      </c>
      <c r="BB4" s="6" t="s">
        <v>15</v>
      </c>
      <c r="BC4" s="157" t="s">
        <v>15</v>
      </c>
    </row>
    <row r="5" spans="1:64" ht="14.95" customHeight="1" thickBot="1" x14ac:dyDescent="0.3">
      <c r="A5" s="311" t="s">
        <v>189</v>
      </c>
      <c r="B5" s="144">
        <v>0</v>
      </c>
      <c r="C5" s="421">
        <v>0</v>
      </c>
      <c r="D5" s="422">
        <v>0</v>
      </c>
      <c r="E5" s="75">
        <f t="shared" si="0"/>
        <v>0</v>
      </c>
      <c r="F5" s="300" t="s">
        <v>189</v>
      </c>
      <c r="G5" s="135">
        <v>0</v>
      </c>
      <c r="H5" s="327">
        <v>0</v>
      </c>
      <c r="I5" s="214">
        <v>0</v>
      </c>
      <c r="J5" s="136">
        <f t="shared" si="1"/>
        <v>0</v>
      </c>
      <c r="K5" s="417" t="s">
        <v>469</v>
      </c>
      <c r="L5" s="423" t="s">
        <v>15</v>
      </c>
      <c r="M5" s="423" t="s">
        <v>15</v>
      </c>
      <c r="N5" s="424" t="s">
        <v>15</v>
      </c>
      <c r="O5" s="423" t="s">
        <v>15</v>
      </c>
      <c r="P5" s="423" t="s">
        <v>15</v>
      </c>
      <c r="Q5" s="424" t="s">
        <v>15</v>
      </c>
      <c r="R5" s="108">
        <v>1</v>
      </c>
      <c r="S5" s="108">
        <v>1</v>
      </c>
      <c r="T5" s="6" t="s">
        <v>15</v>
      </c>
      <c r="U5" s="6" t="s">
        <v>15</v>
      </c>
      <c r="V5" s="157" t="s">
        <v>15</v>
      </c>
      <c r="W5" s="6" t="s">
        <v>15</v>
      </c>
      <c r="X5" s="6" t="s">
        <v>15</v>
      </c>
      <c r="Y5" s="157" t="s">
        <v>15</v>
      </c>
      <c r="Z5" s="93"/>
      <c r="AA5" s="94"/>
      <c r="AB5" s="94"/>
      <c r="AC5" s="6">
        <v>1</v>
      </c>
      <c r="AD5" s="6">
        <v>1</v>
      </c>
      <c r="AE5" s="157">
        <v>100</v>
      </c>
      <c r="AF5" s="6" t="s">
        <v>15</v>
      </c>
      <c r="AG5" s="6" t="s">
        <v>15</v>
      </c>
      <c r="AH5" s="157" t="s">
        <v>15</v>
      </c>
      <c r="AI5" s="6" t="s">
        <v>15</v>
      </c>
      <c r="AJ5" s="6" t="s">
        <v>15</v>
      </c>
      <c r="AK5" s="157" t="s">
        <v>15</v>
      </c>
      <c r="AL5" s="6" t="s">
        <v>15</v>
      </c>
      <c r="AM5" s="6" t="s">
        <v>15</v>
      </c>
      <c r="AN5" s="157" t="s">
        <v>15</v>
      </c>
      <c r="AO5" s="6" t="s">
        <v>15</v>
      </c>
      <c r="AP5" s="6" t="s">
        <v>15</v>
      </c>
      <c r="AQ5" s="157" t="s">
        <v>15</v>
      </c>
      <c r="AR5" s="6" t="s">
        <v>15</v>
      </c>
      <c r="AS5" s="6" t="s">
        <v>15</v>
      </c>
      <c r="AT5" s="157" t="s">
        <v>15</v>
      </c>
      <c r="AU5" s="6" t="s">
        <v>15</v>
      </c>
      <c r="AV5" s="6" t="s">
        <v>15</v>
      </c>
      <c r="AW5" s="157" t="s">
        <v>15</v>
      </c>
      <c r="AX5" s="6" t="s">
        <v>15</v>
      </c>
      <c r="AY5" s="6" t="s">
        <v>15</v>
      </c>
      <c r="AZ5" s="157" t="s">
        <v>15</v>
      </c>
      <c r="BA5" s="6" t="s">
        <v>15</v>
      </c>
      <c r="BB5" s="6" t="s">
        <v>15</v>
      </c>
      <c r="BC5" s="157" t="s">
        <v>15</v>
      </c>
    </row>
    <row r="6" spans="1:64" ht="14.95" customHeight="1" thickBot="1" x14ac:dyDescent="0.3">
      <c r="A6" s="311" t="s">
        <v>294</v>
      </c>
      <c r="B6" s="144">
        <v>1</v>
      </c>
      <c r="C6" s="421">
        <v>1</v>
      </c>
      <c r="D6" s="422">
        <v>0</v>
      </c>
      <c r="E6" s="75">
        <f t="shared" si="0"/>
        <v>2</v>
      </c>
      <c r="F6" s="300" t="s">
        <v>294</v>
      </c>
      <c r="G6" s="135">
        <v>5</v>
      </c>
      <c r="H6" s="327">
        <v>5</v>
      </c>
      <c r="I6" s="214">
        <v>0</v>
      </c>
      <c r="J6" s="136">
        <f t="shared" si="1"/>
        <v>10</v>
      </c>
      <c r="K6" s="417" t="s">
        <v>593</v>
      </c>
      <c r="L6" s="423" t="s">
        <v>15</v>
      </c>
      <c r="M6" s="423" t="s">
        <v>15</v>
      </c>
      <c r="N6" s="424" t="s">
        <v>15</v>
      </c>
      <c r="O6" s="423" t="s">
        <v>15</v>
      </c>
      <c r="P6" s="423" t="s">
        <v>15</v>
      </c>
      <c r="Q6" s="424" t="s">
        <v>15</v>
      </c>
      <c r="R6" s="108">
        <v>1</v>
      </c>
      <c r="S6" s="108">
        <v>-1</v>
      </c>
      <c r="T6" s="6">
        <v>2</v>
      </c>
      <c r="U6" s="6">
        <v>4</v>
      </c>
      <c r="V6" s="157">
        <v>50</v>
      </c>
      <c r="W6" s="6">
        <v>2</v>
      </c>
      <c r="X6" s="6">
        <v>3</v>
      </c>
      <c r="Y6" s="157">
        <v>66.666666666666657</v>
      </c>
      <c r="Z6" s="93"/>
      <c r="AA6" s="94"/>
      <c r="AB6" s="94"/>
      <c r="AC6" s="6" t="s">
        <v>15</v>
      </c>
      <c r="AD6" s="6" t="s">
        <v>15</v>
      </c>
      <c r="AE6" s="157" t="s">
        <v>15</v>
      </c>
      <c r="AF6" s="6" t="s">
        <v>15</v>
      </c>
      <c r="AG6" s="6" t="s">
        <v>15</v>
      </c>
      <c r="AH6" s="157" t="s">
        <v>15</v>
      </c>
      <c r="AI6" s="6" t="s">
        <v>15</v>
      </c>
      <c r="AJ6" s="6" t="s">
        <v>15</v>
      </c>
      <c r="AK6" s="157" t="s">
        <v>15</v>
      </c>
      <c r="AL6" s="6" t="s">
        <v>15</v>
      </c>
      <c r="AM6" s="6" t="s">
        <v>15</v>
      </c>
      <c r="AN6" s="157" t="s">
        <v>15</v>
      </c>
      <c r="AO6" s="6" t="s">
        <v>15</v>
      </c>
      <c r="AP6" s="6" t="s">
        <v>15</v>
      </c>
      <c r="AQ6" s="6" t="s">
        <v>15</v>
      </c>
      <c r="AR6" s="6" t="s">
        <v>15</v>
      </c>
      <c r="AS6" s="6" t="s">
        <v>15</v>
      </c>
      <c r="AT6" s="6" t="s">
        <v>15</v>
      </c>
      <c r="AU6" s="6" t="s">
        <v>15</v>
      </c>
      <c r="AV6" s="6" t="s">
        <v>15</v>
      </c>
      <c r="AW6" s="6" t="s">
        <v>15</v>
      </c>
      <c r="AX6" s="6" t="s">
        <v>15</v>
      </c>
      <c r="AY6" s="6" t="s">
        <v>15</v>
      </c>
      <c r="AZ6" s="6" t="s">
        <v>15</v>
      </c>
      <c r="BA6" s="6" t="s">
        <v>15</v>
      </c>
      <c r="BB6" s="6" t="s">
        <v>15</v>
      </c>
      <c r="BC6" s="6" t="s">
        <v>15</v>
      </c>
    </row>
    <row r="7" spans="1:64" ht="14.95" customHeight="1" thickBot="1" x14ac:dyDescent="0.3">
      <c r="A7" s="311" t="s">
        <v>628</v>
      </c>
      <c r="B7" s="144">
        <v>1</v>
      </c>
      <c r="C7" s="421">
        <v>1</v>
      </c>
      <c r="D7" s="422">
        <v>2</v>
      </c>
      <c r="E7" s="75">
        <f t="shared" si="0"/>
        <v>4</v>
      </c>
      <c r="F7" s="300" t="s">
        <v>628</v>
      </c>
      <c r="G7" s="135">
        <v>5</v>
      </c>
      <c r="H7" s="327">
        <v>5</v>
      </c>
      <c r="I7" s="214">
        <v>10</v>
      </c>
      <c r="J7" s="136">
        <f t="shared" si="1"/>
        <v>20</v>
      </c>
      <c r="K7" s="417" t="s">
        <v>1029</v>
      </c>
      <c r="L7" s="423">
        <v>14</v>
      </c>
      <c r="M7" s="423">
        <v>22</v>
      </c>
      <c r="N7" s="424">
        <f t="shared" ref="N7" si="2">(L7/M7)*100</f>
        <v>63.636363636363633</v>
      </c>
      <c r="O7" s="423">
        <v>0</v>
      </c>
      <c r="P7" s="423">
        <v>1</v>
      </c>
      <c r="Q7" s="424">
        <f t="shared" ref="Q7" si="3">(O7/P7)*100</f>
        <v>0</v>
      </c>
      <c r="R7" s="108">
        <v>-1</v>
      </c>
      <c r="S7" s="108">
        <v>-1</v>
      </c>
      <c r="T7" s="6">
        <v>11</v>
      </c>
      <c r="U7" s="6">
        <v>14</v>
      </c>
      <c r="V7" s="157">
        <v>78.571428571428569</v>
      </c>
      <c r="W7" s="6">
        <v>7</v>
      </c>
      <c r="X7" s="6">
        <v>11</v>
      </c>
      <c r="Y7" s="157">
        <v>64</v>
      </c>
      <c r="Z7" s="93"/>
      <c r="AA7" s="94"/>
      <c r="AB7" s="94"/>
      <c r="AC7" s="6">
        <v>12</v>
      </c>
      <c r="AD7" s="6">
        <v>21</v>
      </c>
      <c r="AE7" s="157">
        <v>57</v>
      </c>
      <c r="AF7" s="6" t="s">
        <v>15</v>
      </c>
      <c r="AG7" s="6" t="s">
        <v>15</v>
      </c>
      <c r="AH7" s="157" t="s">
        <v>15</v>
      </c>
      <c r="AI7" s="6" t="s">
        <v>15</v>
      </c>
      <c r="AJ7" s="6" t="s">
        <v>15</v>
      </c>
      <c r="AK7" s="157" t="s">
        <v>15</v>
      </c>
      <c r="AL7" s="6" t="s">
        <v>15</v>
      </c>
      <c r="AM7" s="6" t="s">
        <v>15</v>
      </c>
      <c r="AN7" s="157" t="s">
        <v>15</v>
      </c>
      <c r="AO7" s="6" t="s">
        <v>15</v>
      </c>
      <c r="AP7" s="6" t="s">
        <v>15</v>
      </c>
      <c r="AQ7" s="157" t="s">
        <v>15</v>
      </c>
      <c r="AR7" s="6" t="s">
        <v>15</v>
      </c>
      <c r="AS7" s="6" t="s">
        <v>15</v>
      </c>
      <c r="AT7" s="157" t="s">
        <v>15</v>
      </c>
      <c r="AU7" s="6" t="s">
        <v>15</v>
      </c>
      <c r="AV7" s="6" t="s">
        <v>15</v>
      </c>
      <c r="AW7" s="157" t="s">
        <v>15</v>
      </c>
      <c r="AX7" s="6" t="s">
        <v>15</v>
      </c>
      <c r="AY7" s="6" t="s">
        <v>15</v>
      </c>
      <c r="AZ7" s="157" t="s">
        <v>15</v>
      </c>
      <c r="BA7" s="6" t="s">
        <v>15</v>
      </c>
      <c r="BB7" s="6" t="s">
        <v>15</v>
      </c>
      <c r="BC7" s="157" t="s">
        <v>15</v>
      </c>
    </row>
    <row r="8" spans="1:64" ht="14.95" customHeight="1" thickBot="1" x14ac:dyDescent="0.3">
      <c r="A8" s="311" t="s">
        <v>1047</v>
      </c>
      <c r="B8" s="144">
        <v>0</v>
      </c>
      <c r="C8" s="421">
        <v>0</v>
      </c>
      <c r="D8" s="422">
        <v>1</v>
      </c>
      <c r="E8" s="75">
        <f t="shared" si="0"/>
        <v>1</v>
      </c>
      <c r="F8" s="300" t="s">
        <v>1047</v>
      </c>
      <c r="G8" s="135">
        <v>0</v>
      </c>
      <c r="H8" s="327">
        <v>0</v>
      </c>
      <c r="I8" s="214">
        <v>5</v>
      </c>
      <c r="J8" s="136">
        <f t="shared" si="1"/>
        <v>5</v>
      </c>
      <c r="K8" s="417" t="s">
        <v>390</v>
      </c>
      <c r="L8" s="423" t="s">
        <v>15</v>
      </c>
      <c r="M8" s="423" t="s">
        <v>15</v>
      </c>
      <c r="N8" s="424" t="s">
        <v>15</v>
      </c>
      <c r="O8" s="423" t="s">
        <v>15</v>
      </c>
      <c r="P8" s="423" t="s">
        <v>15</v>
      </c>
      <c r="Q8" s="424" t="s">
        <v>15</v>
      </c>
      <c r="R8" s="108" t="s">
        <v>19</v>
      </c>
      <c r="S8" s="108">
        <v>1</v>
      </c>
      <c r="T8" s="6" t="s">
        <v>15</v>
      </c>
      <c r="U8" s="6" t="s">
        <v>15</v>
      </c>
      <c r="V8" s="157" t="s">
        <v>15</v>
      </c>
      <c r="W8" s="6" t="s">
        <v>15</v>
      </c>
      <c r="X8" s="6" t="s">
        <v>15</v>
      </c>
      <c r="Y8" s="157" t="s">
        <v>15</v>
      </c>
      <c r="Z8" s="93"/>
      <c r="AA8" s="94"/>
      <c r="AB8" s="94"/>
      <c r="AC8" s="6" t="s">
        <v>15</v>
      </c>
      <c r="AD8" s="6" t="s">
        <v>15</v>
      </c>
      <c r="AE8" s="157" t="s">
        <v>15</v>
      </c>
      <c r="AF8" s="6" t="s">
        <v>15</v>
      </c>
      <c r="AG8" s="6" t="s">
        <v>15</v>
      </c>
      <c r="AH8" s="157" t="s">
        <v>15</v>
      </c>
      <c r="AI8" s="6" t="s">
        <v>15</v>
      </c>
      <c r="AJ8" s="6" t="s">
        <v>15</v>
      </c>
      <c r="AK8" s="157" t="s">
        <v>15</v>
      </c>
      <c r="AL8" s="6" t="s">
        <v>15</v>
      </c>
      <c r="AM8" s="6" t="s">
        <v>15</v>
      </c>
      <c r="AN8" s="157" t="s">
        <v>15</v>
      </c>
      <c r="AO8" s="6" t="s">
        <v>15</v>
      </c>
      <c r="AP8" s="6" t="s">
        <v>15</v>
      </c>
      <c r="AQ8" s="157" t="s">
        <v>15</v>
      </c>
      <c r="AR8" s="6" t="s">
        <v>15</v>
      </c>
      <c r="AS8" s="6" t="s">
        <v>15</v>
      </c>
      <c r="AT8" s="157" t="s">
        <v>15</v>
      </c>
      <c r="AU8" s="6" t="s">
        <v>15</v>
      </c>
      <c r="AV8" s="6" t="s">
        <v>15</v>
      </c>
      <c r="AW8" s="157" t="s">
        <v>15</v>
      </c>
      <c r="AX8" s="6" t="s">
        <v>15</v>
      </c>
      <c r="AY8" s="6" t="s">
        <v>15</v>
      </c>
      <c r="AZ8" s="157" t="s">
        <v>15</v>
      </c>
      <c r="BA8" s="6" t="s">
        <v>15</v>
      </c>
      <c r="BB8" s="6" t="s">
        <v>15</v>
      </c>
      <c r="BC8" s="157" t="s">
        <v>15</v>
      </c>
      <c r="BD8" s="4"/>
    </row>
    <row r="9" spans="1:64" ht="14.95" customHeight="1" thickBot="1" x14ac:dyDescent="0.3">
      <c r="A9" s="311" t="s">
        <v>191</v>
      </c>
      <c r="B9" s="144">
        <v>0</v>
      </c>
      <c r="C9" s="421">
        <v>0</v>
      </c>
      <c r="D9" s="422">
        <v>0</v>
      </c>
      <c r="E9" s="75">
        <f t="shared" si="0"/>
        <v>0</v>
      </c>
      <c r="F9" s="300" t="s">
        <v>191</v>
      </c>
      <c r="G9" s="135">
        <v>0</v>
      </c>
      <c r="H9" s="327">
        <v>0</v>
      </c>
      <c r="I9" s="214">
        <v>0</v>
      </c>
      <c r="J9" s="136">
        <f t="shared" si="1"/>
        <v>0</v>
      </c>
      <c r="K9" s="417" t="s">
        <v>437</v>
      </c>
      <c r="L9" s="423">
        <v>1</v>
      </c>
      <c r="M9" s="423">
        <v>1</v>
      </c>
      <c r="N9" s="424">
        <f t="shared" ref="N9" si="4">(L9/M9)*100</f>
        <v>100</v>
      </c>
      <c r="O9" s="423" t="s">
        <v>15</v>
      </c>
      <c r="P9" s="423" t="s">
        <v>15</v>
      </c>
      <c r="Q9" s="424" t="s">
        <v>15</v>
      </c>
      <c r="R9" s="108">
        <v>7</v>
      </c>
      <c r="S9" s="108">
        <v>4</v>
      </c>
      <c r="T9" s="6">
        <v>55</v>
      </c>
      <c r="U9" s="152">
        <v>75</v>
      </c>
      <c r="V9" s="157">
        <v>73.333333333333329</v>
      </c>
      <c r="W9" s="6">
        <v>34</v>
      </c>
      <c r="X9" s="152">
        <v>41</v>
      </c>
      <c r="Y9" s="157">
        <v>82.926829268292678</v>
      </c>
      <c r="Z9" s="93"/>
      <c r="AA9" s="94"/>
      <c r="AB9" s="94"/>
      <c r="AC9" s="6">
        <v>42</v>
      </c>
      <c r="AD9" s="152">
        <v>53</v>
      </c>
      <c r="AE9" s="157">
        <v>79.245283018867923</v>
      </c>
      <c r="AF9" s="6">
        <v>38</v>
      </c>
      <c r="AG9" s="152">
        <v>53</v>
      </c>
      <c r="AH9" s="157">
        <v>71.698113207547166</v>
      </c>
      <c r="AI9" s="6">
        <v>71</v>
      </c>
      <c r="AJ9" s="152">
        <v>87</v>
      </c>
      <c r="AK9" s="157">
        <v>81.609195402298852</v>
      </c>
      <c r="AL9" s="6">
        <v>27</v>
      </c>
      <c r="AM9" s="152">
        <v>34</v>
      </c>
      <c r="AN9" s="157">
        <v>79.411764705882348</v>
      </c>
      <c r="AO9" s="6">
        <v>40</v>
      </c>
      <c r="AP9" s="152">
        <v>48</v>
      </c>
      <c r="AQ9" s="7">
        <v>83</v>
      </c>
      <c r="AR9" s="6">
        <v>58</v>
      </c>
      <c r="AS9" s="152">
        <v>69</v>
      </c>
      <c r="AT9" s="152">
        <v>84</v>
      </c>
      <c r="AU9" s="6">
        <v>40</v>
      </c>
      <c r="AV9" s="152">
        <v>48</v>
      </c>
      <c r="AW9" s="6">
        <v>83</v>
      </c>
      <c r="AX9" s="6" t="s">
        <v>15</v>
      </c>
      <c r="AY9" s="152" t="s">
        <v>15</v>
      </c>
      <c r="AZ9" s="152" t="s">
        <v>15</v>
      </c>
      <c r="BA9" s="6" t="s">
        <v>15</v>
      </c>
      <c r="BB9" s="152" t="s">
        <v>15</v>
      </c>
      <c r="BC9" s="152" t="s">
        <v>15</v>
      </c>
    </row>
    <row r="10" spans="1:64" ht="14.95" customHeight="1" thickBot="1" x14ac:dyDescent="0.3">
      <c r="A10" s="311" t="s">
        <v>934</v>
      </c>
      <c r="B10" s="144">
        <v>1</v>
      </c>
      <c r="C10" s="421">
        <v>0</v>
      </c>
      <c r="D10" s="422">
        <v>1</v>
      </c>
      <c r="E10" s="75">
        <f t="shared" si="0"/>
        <v>2</v>
      </c>
      <c r="F10" s="300" t="s">
        <v>934</v>
      </c>
      <c r="G10" s="135">
        <v>5</v>
      </c>
      <c r="H10" s="327">
        <v>0</v>
      </c>
      <c r="I10" s="214">
        <v>5</v>
      </c>
      <c r="J10" s="136">
        <f t="shared" si="1"/>
        <v>10</v>
      </c>
      <c r="K10" s="425" t="s">
        <v>1048</v>
      </c>
      <c r="L10" s="423" t="s">
        <v>15</v>
      </c>
      <c r="M10" s="423" t="s">
        <v>15</v>
      </c>
      <c r="N10" s="424" t="s">
        <v>15</v>
      </c>
      <c r="O10" s="423" t="s">
        <v>15</v>
      </c>
      <c r="P10" s="423" t="s">
        <v>15</v>
      </c>
      <c r="Q10" s="424" t="s">
        <v>15</v>
      </c>
      <c r="R10" s="426" t="s">
        <v>19</v>
      </c>
      <c r="S10" s="426">
        <v>2</v>
      </c>
      <c r="T10" s="6"/>
      <c r="U10" s="152"/>
      <c r="V10" s="157"/>
      <c r="W10" s="6"/>
      <c r="X10" s="152"/>
      <c r="Y10" s="157"/>
      <c r="Z10" s="93"/>
      <c r="AA10" s="94"/>
      <c r="AB10" s="94"/>
      <c r="AC10" s="6"/>
      <c r="AD10" s="152"/>
      <c r="AE10" s="157"/>
      <c r="AF10" s="6"/>
      <c r="AG10" s="152"/>
      <c r="AH10" s="157"/>
      <c r="AI10" s="6"/>
      <c r="AJ10" s="152"/>
      <c r="AK10" s="157"/>
      <c r="AL10" s="6"/>
      <c r="AM10" s="152"/>
      <c r="AN10" s="157"/>
      <c r="AO10" s="6"/>
      <c r="AP10" s="152"/>
      <c r="AQ10" s="7"/>
      <c r="AR10" s="6"/>
      <c r="AS10" s="152"/>
      <c r="AT10" s="152"/>
      <c r="AU10" s="6"/>
      <c r="AV10" s="152"/>
      <c r="AW10" s="6"/>
      <c r="AX10" s="6"/>
      <c r="AY10" s="152"/>
      <c r="AZ10" s="152"/>
      <c r="BA10" s="6"/>
      <c r="BB10" s="152"/>
      <c r="BC10" s="152"/>
    </row>
    <row r="11" spans="1:64" ht="14.95" customHeight="1" thickBot="1" x14ac:dyDescent="0.3">
      <c r="A11" s="311" t="s">
        <v>608</v>
      </c>
      <c r="B11" s="144">
        <v>0</v>
      </c>
      <c r="C11" s="421">
        <v>0</v>
      </c>
      <c r="D11" s="422">
        <v>0</v>
      </c>
      <c r="E11" s="75">
        <f t="shared" si="0"/>
        <v>0</v>
      </c>
      <c r="F11" s="300" t="s">
        <v>608</v>
      </c>
      <c r="G11" s="135">
        <v>0</v>
      </c>
      <c r="H11" s="327">
        <v>0</v>
      </c>
      <c r="I11" s="214">
        <v>0</v>
      </c>
      <c r="J11" s="136">
        <f t="shared" si="1"/>
        <v>0</v>
      </c>
      <c r="K11" s="425" t="s">
        <v>5</v>
      </c>
      <c r="L11" s="423">
        <v>3</v>
      </c>
      <c r="M11" s="423">
        <v>4</v>
      </c>
      <c r="N11" s="424">
        <f t="shared" ref="N11" si="5">(L11/M11)*100</f>
        <v>75</v>
      </c>
      <c r="O11" s="423" t="s">
        <v>15</v>
      </c>
      <c r="P11" s="423" t="s">
        <v>15</v>
      </c>
      <c r="Q11" s="424" t="s">
        <v>15</v>
      </c>
      <c r="R11" s="426">
        <v>3</v>
      </c>
      <c r="S11" s="426">
        <v>3</v>
      </c>
      <c r="T11" s="6">
        <v>1</v>
      </c>
      <c r="U11" s="6">
        <v>1</v>
      </c>
      <c r="V11" s="157">
        <v>100</v>
      </c>
      <c r="W11" s="6">
        <v>15</v>
      </c>
      <c r="X11" s="6">
        <v>20</v>
      </c>
      <c r="Y11" s="157">
        <v>75</v>
      </c>
      <c r="Z11" s="93"/>
      <c r="AA11" s="94"/>
      <c r="AB11" s="94"/>
      <c r="AC11" s="6">
        <v>12</v>
      </c>
      <c r="AD11" s="6">
        <v>18</v>
      </c>
      <c r="AE11" s="157">
        <v>66.666666666666657</v>
      </c>
      <c r="AF11" s="6" t="s">
        <v>15</v>
      </c>
      <c r="AG11" s="6" t="s">
        <v>15</v>
      </c>
      <c r="AH11" s="157" t="s">
        <v>15</v>
      </c>
      <c r="AI11" s="6" t="s">
        <v>15</v>
      </c>
      <c r="AJ11" s="6" t="s">
        <v>15</v>
      </c>
      <c r="AK11" s="6" t="s">
        <v>15</v>
      </c>
      <c r="AL11" s="6" t="s">
        <v>15</v>
      </c>
      <c r="AM11" s="6" t="s">
        <v>15</v>
      </c>
      <c r="AN11" s="6" t="s">
        <v>15</v>
      </c>
      <c r="AO11" s="6" t="s">
        <v>15</v>
      </c>
      <c r="AP11" s="6" t="s">
        <v>15</v>
      </c>
      <c r="AQ11" s="6" t="s">
        <v>15</v>
      </c>
      <c r="AR11" s="6" t="s">
        <v>15</v>
      </c>
      <c r="AS11" s="152" t="s">
        <v>15</v>
      </c>
      <c r="AT11" s="152" t="s">
        <v>15</v>
      </c>
      <c r="AU11" s="6" t="s">
        <v>15</v>
      </c>
      <c r="AV11" s="152" t="s">
        <v>15</v>
      </c>
      <c r="AW11" s="6" t="s">
        <v>15</v>
      </c>
      <c r="AX11" s="6" t="s">
        <v>15</v>
      </c>
      <c r="AY11" s="152" t="s">
        <v>15</v>
      </c>
      <c r="AZ11" s="152" t="s">
        <v>15</v>
      </c>
      <c r="BA11" s="6" t="s">
        <v>15</v>
      </c>
      <c r="BB11" s="152" t="s">
        <v>15</v>
      </c>
      <c r="BC11" s="152" t="s">
        <v>15</v>
      </c>
    </row>
    <row r="12" spans="1:64" ht="14.95" customHeight="1" thickBot="1" x14ac:dyDescent="0.3">
      <c r="A12" s="311" t="s">
        <v>615</v>
      </c>
      <c r="B12" s="144">
        <v>0</v>
      </c>
      <c r="C12" s="421">
        <v>0</v>
      </c>
      <c r="D12" s="422">
        <v>0</v>
      </c>
      <c r="E12" s="75">
        <f t="shared" si="0"/>
        <v>0</v>
      </c>
      <c r="F12" s="300" t="s">
        <v>615</v>
      </c>
      <c r="G12" s="135">
        <v>0</v>
      </c>
      <c r="H12" s="327">
        <v>0</v>
      </c>
      <c r="I12" s="214">
        <v>0</v>
      </c>
      <c r="J12" s="136">
        <f t="shared" si="1"/>
        <v>0</v>
      </c>
      <c r="K12" s="425" t="s">
        <v>440</v>
      </c>
      <c r="L12" s="423">
        <v>19</v>
      </c>
      <c r="M12" s="423">
        <v>22</v>
      </c>
      <c r="N12" s="424">
        <f t="shared" ref="N12" si="6">(L12/M12)*100</f>
        <v>86.36363636363636</v>
      </c>
      <c r="O12" s="423">
        <v>2</v>
      </c>
      <c r="P12" s="423">
        <v>2</v>
      </c>
      <c r="Q12" s="424">
        <f t="shared" ref="Q12" si="7">(O12/P12)*100</f>
        <v>100</v>
      </c>
      <c r="R12" s="426">
        <v>-1</v>
      </c>
      <c r="S12" s="426">
        <v>2</v>
      </c>
      <c r="T12" s="6">
        <v>5</v>
      </c>
      <c r="U12" s="6">
        <v>6</v>
      </c>
      <c r="V12" s="157">
        <v>83.333333333333343</v>
      </c>
      <c r="W12" s="6" t="s">
        <v>15</v>
      </c>
      <c r="X12" s="6" t="s">
        <v>15</v>
      </c>
      <c r="Y12" s="157" t="s">
        <v>15</v>
      </c>
      <c r="Z12" s="93"/>
      <c r="AA12" s="94"/>
      <c r="AB12" s="94"/>
      <c r="AC12" s="6" t="s">
        <v>15</v>
      </c>
      <c r="AD12" s="6" t="s">
        <v>15</v>
      </c>
      <c r="AE12" s="157" t="s">
        <v>15</v>
      </c>
      <c r="AF12" s="6" t="s">
        <v>15</v>
      </c>
      <c r="AG12" s="6" t="s">
        <v>15</v>
      </c>
      <c r="AH12" s="157" t="s">
        <v>15</v>
      </c>
      <c r="AI12" s="6" t="s">
        <v>15</v>
      </c>
      <c r="AJ12" s="6" t="s">
        <v>15</v>
      </c>
      <c r="AK12" s="6" t="s">
        <v>15</v>
      </c>
      <c r="AL12" s="6" t="s">
        <v>15</v>
      </c>
      <c r="AM12" s="6" t="s">
        <v>15</v>
      </c>
      <c r="AN12" s="6" t="s">
        <v>15</v>
      </c>
      <c r="AO12" s="6" t="s">
        <v>15</v>
      </c>
      <c r="AP12" s="6" t="s">
        <v>15</v>
      </c>
      <c r="AQ12" s="6" t="s">
        <v>15</v>
      </c>
      <c r="AR12" s="6" t="s">
        <v>15</v>
      </c>
      <c r="AS12" s="152" t="s">
        <v>15</v>
      </c>
      <c r="AT12" s="152" t="s">
        <v>15</v>
      </c>
      <c r="AU12" s="6" t="s">
        <v>15</v>
      </c>
      <c r="AV12" s="152" t="s">
        <v>15</v>
      </c>
      <c r="AW12" s="6" t="s">
        <v>15</v>
      </c>
      <c r="AX12" s="6" t="s">
        <v>15</v>
      </c>
      <c r="AY12" s="152" t="s">
        <v>15</v>
      </c>
      <c r="AZ12" s="152" t="s">
        <v>15</v>
      </c>
      <c r="BA12" s="6" t="s">
        <v>15</v>
      </c>
      <c r="BB12" s="152" t="s">
        <v>15</v>
      </c>
      <c r="BC12" s="152" t="s">
        <v>15</v>
      </c>
      <c r="BD12" s="4"/>
      <c r="BE12" s="4"/>
      <c r="BF12" s="4"/>
    </row>
    <row r="13" spans="1:64" ht="14.95" customHeight="1" thickBot="1" x14ac:dyDescent="0.3">
      <c r="A13" s="311" t="s">
        <v>551</v>
      </c>
      <c r="B13" s="144">
        <v>0</v>
      </c>
      <c r="C13" s="421">
        <v>0</v>
      </c>
      <c r="D13" s="422">
        <v>0</v>
      </c>
      <c r="E13" s="75">
        <f t="shared" si="0"/>
        <v>0</v>
      </c>
      <c r="F13" s="300" t="s">
        <v>551</v>
      </c>
      <c r="G13" s="135">
        <v>0</v>
      </c>
      <c r="H13" s="327">
        <v>0</v>
      </c>
      <c r="I13" s="214">
        <v>0</v>
      </c>
      <c r="J13" s="136">
        <f t="shared" si="1"/>
        <v>0</v>
      </c>
      <c r="K13" s="101"/>
      <c r="L13" s="56"/>
      <c r="M13" s="100"/>
      <c r="N13" s="100"/>
      <c r="O13" s="100"/>
      <c r="P13" s="100"/>
      <c r="Q13" s="100"/>
      <c r="R13" s="159"/>
      <c r="S13" s="159"/>
      <c r="T13" s="149"/>
      <c r="U13" s="149"/>
      <c r="V13" s="149"/>
      <c r="W13" s="149"/>
      <c r="X13" s="150"/>
      <c r="Y13" s="150"/>
      <c r="Z13" s="86"/>
      <c r="AA13" s="86"/>
      <c r="AB13" s="86"/>
      <c r="AC13" s="86"/>
      <c r="AD13" s="86"/>
      <c r="AE13" s="86"/>
      <c r="AF13" s="172"/>
      <c r="AG13" s="170"/>
      <c r="AH13" s="170"/>
      <c r="AI13" s="172"/>
      <c r="AJ13" s="170"/>
      <c r="AK13" s="172"/>
      <c r="AT13" s="4"/>
      <c r="BA13" s="4"/>
      <c r="BB13" s="4"/>
      <c r="BC13" s="4"/>
    </row>
    <row r="14" spans="1:64" ht="14.95" customHeight="1" thickBot="1" x14ac:dyDescent="0.3">
      <c r="A14" s="311" t="s">
        <v>811</v>
      </c>
      <c r="B14" s="144">
        <v>0</v>
      </c>
      <c r="C14" s="421">
        <v>0</v>
      </c>
      <c r="D14" s="422">
        <v>0</v>
      </c>
      <c r="E14" s="75">
        <f t="shared" si="0"/>
        <v>0</v>
      </c>
      <c r="F14" s="300" t="s">
        <v>811</v>
      </c>
      <c r="G14" s="135">
        <v>0</v>
      </c>
      <c r="H14" s="327">
        <v>0</v>
      </c>
      <c r="I14" s="214">
        <v>0</v>
      </c>
      <c r="J14" s="136">
        <f t="shared" si="1"/>
        <v>0</v>
      </c>
      <c r="K14" s="492" t="s">
        <v>195</v>
      </c>
      <c r="L14" s="500" t="s">
        <v>14</v>
      </c>
      <c r="M14" s="501"/>
      <c r="N14" s="502"/>
      <c r="O14" s="457" t="s">
        <v>234</v>
      </c>
      <c r="P14" s="458"/>
      <c r="Q14" s="459"/>
      <c r="R14" s="457" t="s">
        <v>903</v>
      </c>
      <c r="S14" s="458"/>
      <c r="T14" s="459"/>
      <c r="U14" s="457" t="s">
        <v>601</v>
      </c>
      <c r="V14" s="458"/>
      <c r="W14" s="459"/>
      <c r="X14" s="85"/>
      <c r="Y14" s="85"/>
      <c r="Z14" s="85"/>
      <c r="AC14" s="457" t="s">
        <v>494</v>
      </c>
      <c r="AD14" s="458"/>
      <c r="AE14" s="459"/>
      <c r="AF14" s="457" t="s">
        <v>407</v>
      </c>
      <c r="AG14" s="458"/>
      <c r="AH14" s="459"/>
      <c r="AI14" s="457" t="s">
        <v>313</v>
      </c>
      <c r="AJ14" s="458"/>
      <c r="AK14" s="459"/>
      <c r="AL14" s="465" t="s">
        <v>227</v>
      </c>
      <c r="AM14" s="466"/>
      <c r="AN14" s="467"/>
      <c r="AO14" s="457" t="s">
        <v>79</v>
      </c>
      <c r="AP14" s="458"/>
      <c r="AQ14" s="459"/>
      <c r="AR14" s="457" t="s">
        <v>54</v>
      </c>
      <c r="AS14" s="506"/>
      <c r="AT14" s="507"/>
      <c r="AU14" s="457" t="s">
        <v>50</v>
      </c>
      <c r="AV14" s="506"/>
      <c r="AW14" s="507"/>
      <c r="AX14" s="457" t="s">
        <v>37</v>
      </c>
      <c r="AY14" s="506"/>
      <c r="AZ14" s="507"/>
    </row>
    <row r="15" spans="1:64" ht="14.95" customHeight="1" thickBot="1" x14ac:dyDescent="0.3">
      <c r="A15" s="311" t="s">
        <v>52</v>
      </c>
      <c r="B15" s="144">
        <v>1</v>
      </c>
      <c r="C15" s="421">
        <v>1</v>
      </c>
      <c r="D15" s="422">
        <v>0</v>
      </c>
      <c r="E15" s="75">
        <f t="shared" si="0"/>
        <v>2</v>
      </c>
      <c r="F15" s="300" t="s">
        <v>52</v>
      </c>
      <c r="G15" s="135">
        <v>5</v>
      </c>
      <c r="H15" s="327">
        <v>5</v>
      </c>
      <c r="I15" s="214">
        <v>0</v>
      </c>
      <c r="J15" s="136">
        <f t="shared" si="1"/>
        <v>10</v>
      </c>
      <c r="K15" s="493"/>
      <c r="L15" s="503"/>
      <c r="M15" s="504"/>
      <c r="N15" s="505"/>
      <c r="O15" s="460"/>
      <c r="P15" s="461"/>
      <c r="Q15" s="462"/>
      <c r="R15" s="460"/>
      <c r="S15" s="461"/>
      <c r="T15" s="462"/>
      <c r="U15" s="460"/>
      <c r="V15" s="461"/>
      <c r="W15" s="462"/>
      <c r="X15" s="85"/>
      <c r="Y15" s="85"/>
      <c r="Z15" s="85"/>
      <c r="AC15" s="460"/>
      <c r="AD15" s="461"/>
      <c r="AE15" s="462"/>
      <c r="AF15" s="460"/>
      <c r="AG15" s="461"/>
      <c r="AH15" s="462"/>
      <c r="AI15" s="460"/>
      <c r="AJ15" s="461"/>
      <c r="AK15" s="462"/>
      <c r="AL15" s="468"/>
      <c r="AM15" s="469"/>
      <c r="AN15" s="470"/>
      <c r="AO15" s="460"/>
      <c r="AP15" s="461"/>
      <c r="AQ15" s="462"/>
      <c r="AR15" s="508"/>
      <c r="AS15" s="509"/>
      <c r="AT15" s="510"/>
      <c r="AU15" s="508"/>
      <c r="AV15" s="509"/>
      <c r="AW15" s="510"/>
      <c r="AX15" s="508"/>
      <c r="AY15" s="509"/>
      <c r="AZ15" s="510"/>
      <c r="BC15" s="4"/>
    </row>
    <row r="16" spans="1:64" ht="14.95" customHeight="1" thickBot="1" x14ac:dyDescent="0.3">
      <c r="A16" s="311" t="s">
        <v>621</v>
      </c>
      <c r="B16" s="144">
        <v>0</v>
      </c>
      <c r="C16" s="421">
        <v>0</v>
      </c>
      <c r="D16" s="422">
        <v>1</v>
      </c>
      <c r="E16" s="75">
        <f t="shared" si="0"/>
        <v>1</v>
      </c>
      <c r="F16" s="300" t="s">
        <v>621</v>
      </c>
      <c r="G16" s="135">
        <v>0</v>
      </c>
      <c r="H16" s="327">
        <v>0</v>
      </c>
      <c r="I16" s="214">
        <v>5</v>
      </c>
      <c r="J16" s="136">
        <f t="shared" si="1"/>
        <v>5</v>
      </c>
      <c r="K16" s="254" t="s">
        <v>21</v>
      </c>
      <c r="L16" s="247" t="s">
        <v>46</v>
      </c>
      <c r="M16" s="247" t="s">
        <v>9</v>
      </c>
      <c r="N16" s="247" t="s">
        <v>10</v>
      </c>
      <c r="O16" s="7" t="s">
        <v>46</v>
      </c>
      <c r="P16" s="7" t="s">
        <v>9</v>
      </c>
      <c r="Q16" s="7" t="s">
        <v>10</v>
      </c>
      <c r="R16" s="7" t="s">
        <v>46</v>
      </c>
      <c r="S16" s="7" t="s">
        <v>9</v>
      </c>
      <c r="T16" s="7" t="s">
        <v>10</v>
      </c>
      <c r="U16" s="7" t="s">
        <v>46</v>
      </c>
      <c r="V16" s="7" t="s">
        <v>9</v>
      </c>
      <c r="W16" s="7" t="s">
        <v>10</v>
      </c>
      <c r="AC16" s="148" t="s">
        <v>46</v>
      </c>
      <c r="AD16" s="7" t="s">
        <v>9</v>
      </c>
      <c r="AE16" s="7" t="s">
        <v>10</v>
      </c>
      <c r="AF16" s="148" t="s">
        <v>46</v>
      </c>
      <c r="AG16" s="7" t="s">
        <v>9</v>
      </c>
      <c r="AH16" s="7" t="s">
        <v>10</v>
      </c>
      <c r="AI16" s="148" t="s">
        <v>46</v>
      </c>
      <c r="AJ16" s="7" t="s">
        <v>9</v>
      </c>
      <c r="AK16" s="7" t="s">
        <v>10</v>
      </c>
      <c r="AL16" s="84" t="s">
        <v>46</v>
      </c>
      <c r="AM16" s="79" t="s">
        <v>9</v>
      </c>
      <c r="AN16" s="79" t="s">
        <v>10</v>
      </c>
      <c r="AO16" s="148" t="s">
        <v>46</v>
      </c>
      <c r="AP16" s="7" t="s">
        <v>9</v>
      </c>
      <c r="AQ16" s="7" t="s">
        <v>10</v>
      </c>
      <c r="AR16" s="6" t="s">
        <v>46</v>
      </c>
      <c r="AS16" s="6" t="s">
        <v>9</v>
      </c>
      <c r="AT16" s="6" t="s">
        <v>10</v>
      </c>
      <c r="AU16" s="6" t="s">
        <v>46</v>
      </c>
      <c r="AV16" s="6" t="s">
        <v>9</v>
      </c>
      <c r="AW16" s="6" t="s">
        <v>10</v>
      </c>
      <c r="AX16" s="6" t="s">
        <v>46</v>
      </c>
      <c r="AY16" s="6" t="s">
        <v>9</v>
      </c>
      <c r="AZ16" s="6" t="s">
        <v>10</v>
      </c>
    </row>
    <row r="17" spans="1:57" ht="14.95" customHeight="1" thickBot="1" x14ac:dyDescent="0.3">
      <c r="A17" s="311" t="s">
        <v>623</v>
      </c>
      <c r="B17" s="144">
        <v>0</v>
      </c>
      <c r="C17" s="421">
        <v>1</v>
      </c>
      <c r="D17" s="422">
        <v>0</v>
      </c>
      <c r="E17" s="75">
        <f t="shared" si="0"/>
        <v>1</v>
      </c>
      <c r="F17" s="300" t="s">
        <v>623</v>
      </c>
      <c r="G17" s="135">
        <v>0</v>
      </c>
      <c r="H17" s="327">
        <v>5</v>
      </c>
      <c r="I17" s="214">
        <v>0</v>
      </c>
      <c r="J17" s="136">
        <f t="shared" si="1"/>
        <v>5</v>
      </c>
      <c r="K17" s="417" t="s">
        <v>593</v>
      </c>
      <c r="L17" s="423" t="s">
        <v>15</v>
      </c>
      <c r="M17" s="108" t="s">
        <v>15</v>
      </c>
      <c r="N17" s="424" t="s">
        <v>15</v>
      </c>
      <c r="O17" s="6">
        <v>1</v>
      </c>
      <c r="P17" s="152">
        <v>2</v>
      </c>
      <c r="Q17" s="157">
        <v>50</v>
      </c>
      <c r="R17" s="6" t="s">
        <v>15</v>
      </c>
      <c r="S17" s="152" t="s">
        <v>15</v>
      </c>
      <c r="T17" s="157" t="s">
        <v>15</v>
      </c>
      <c r="U17" s="6" t="s">
        <v>15</v>
      </c>
      <c r="V17" s="152" t="s">
        <v>15</v>
      </c>
      <c r="W17" s="157" t="s">
        <v>15</v>
      </c>
      <c r="AC17" s="6" t="s">
        <v>15</v>
      </c>
      <c r="AD17" s="152" t="s">
        <v>15</v>
      </c>
      <c r="AE17" s="157" t="s">
        <v>15</v>
      </c>
      <c r="AF17" s="6" t="s">
        <v>15</v>
      </c>
      <c r="AG17" s="152" t="s">
        <v>15</v>
      </c>
      <c r="AH17" s="157" t="s">
        <v>15</v>
      </c>
      <c r="AI17" s="6" t="s">
        <v>15</v>
      </c>
      <c r="AJ17" s="152" t="s">
        <v>15</v>
      </c>
      <c r="AK17" s="157" t="s">
        <v>15</v>
      </c>
      <c r="AL17" s="6" t="s">
        <v>15</v>
      </c>
      <c r="AM17" s="152" t="s">
        <v>15</v>
      </c>
      <c r="AN17" s="157" t="s">
        <v>15</v>
      </c>
      <c r="AO17" s="6" t="s">
        <v>15</v>
      </c>
      <c r="AP17" s="152" t="s">
        <v>15</v>
      </c>
      <c r="AQ17" s="157" t="s">
        <v>15</v>
      </c>
      <c r="AR17" s="6" t="s">
        <v>15</v>
      </c>
      <c r="AS17" s="152" t="s">
        <v>15</v>
      </c>
      <c r="AT17" s="157" t="s">
        <v>15</v>
      </c>
      <c r="AU17" s="6" t="s">
        <v>15</v>
      </c>
      <c r="AV17" s="152" t="s">
        <v>15</v>
      </c>
      <c r="AW17" s="157" t="s">
        <v>15</v>
      </c>
      <c r="AX17" s="6" t="s">
        <v>15</v>
      </c>
      <c r="AY17" s="152" t="s">
        <v>15</v>
      </c>
      <c r="AZ17" s="157" t="s">
        <v>15</v>
      </c>
    </row>
    <row r="18" spans="1:57" ht="14.95" customHeight="1" thickBot="1" x14ac:dyDescent="0.3">
      <c r="A18" s="311" t="s">
        <v>624</v>
      </c>
      <c r="B18" s="144">
        <v>1</v>
      </c>
      <c r="C18" s="421">
        <v>1</v>
      </c>
      <c r="D18" s="422">
        <v>0</v>
      </c>
      <c r="E18" s="75">
        <f t="shared" si="0"/>
        <v>2</v>
      </c>
      <c r="F18" s="300" t="s">
        <v>624</v>
      </c>
      <c r="G18" s="135">
        <v>5</v>
      </c>
      <c r="H18" s="327">
        <v>5</v>
      </c>
      <c r="I18" s="214">
        <v>0</v>
      </c>
      <c r="J18" s="136">
        <f t="shared" si="1"/>
        <v>10</v>
      </c>
      <c r="K18" s="417" t="s">
        <v>1029</v>
      </c>
      <c r="L18" s="423">
        <v>16</v>
      </c>
      <c r="M18" s="108">
        <v>19</v>
      </c>
      <c r="N18" s="424">
        <f t="shared" ref="N18" si="8">(L18/M18)*100</f>
        <v>84.210526315789465</v>
      </c>
      <c r="O18" s="154">
        <v>3</v>
      </c>
      <c r="P18" s="154">
        <v>6</v>
      </c>
      <c r="Q18" s="153">
        <v>50</v>
      </c>
      <c r="R18" s="154">
        <v>0</v>
      </c>
      <c r="S18" s="154">
        <v>2</v>
      </c>
      <c r="T18" s="153">
        <v>0</v>
      </c>
      <c r="U18" s="154" t="s">
        <v>15</v>
      </c>
      <c r="V18" s="154" t="s">
        <v>15</v>
      </c>
      <c r="W18" s="153" t="s">
        <v>15</v>
      </c>
      <c r="AC18" s="6" t="s">
        <v>15</v>
      </c>
      <c r="AD18" s="152" t="s">
        <v>15</v>
      </c>
      <c r="AE18" s="153" t="s">
        <v>15</v>
      </c>
      <c r="AF18" s="6" t="s">
        <v>15</v>
      </c>
      <c r="AG18" s="152" t="s">
        <v>15</v>
      </c>
      <c r="AH18" s="153" t="s">
        <v>15</v>
      </c>
      <c r="AI18" s="6" t="s">
        <v>15</v>
      </c>
      <c r="AJ18" s="6" t="s">
        <v>15</v>
      </c>
      <c r="AK18" s="157" t="s">
        <v>15</v>
      </c>
      <c r="AL18" s="6" t="s">
        <v>15</v>
      </c>
      <c r="AM18" s="6" t="s">
        <v>15</v>
      </c>
      <c r="AN18" s="157" t="s">
        <v>15</v>
      </c>
      <c r="AO18" s="6" t="s">
        <v>15</v>
      </c>
      <c r="AP18" s="6" t="s">
        <v>15</v>
      </c>
      <c r="AQ18" s="157" t="s">
        <v>15</v>
      </c>
      <c r="AR18" s="6" t="s">
        <v>15</v>
      </c>
      <c r="AS18" s="6" t="s">
        <v>15</v>
      </c>
      <c r="AT18" s="157" t="s">
        <v>15</v>
      </c>
      <c r="AU18" s="6" t="s">
        <v>15</v>
      </c>
      <c r="AV18" s="6" t="s">
        <v>15</v>
      </c>
      <c r="AW18" s="153" t="s">
        <v>15</v>
      </c>
      <c r="AX18" s="6" t="s">
        <v>15</v>
      </c>
      <c r="AY18" s="6" t="s">
        <v>15</v>
      </c>
      <c r="AZ18" s="153" t="s">
        <v>15</v>
      </c>
    </row>
    <row r="19" spans="1:57" ht="14.95" customHeight="1" thickBot="1" x14ac:dyDescent="0.3">
      <c r="A19" s="311" t="s">
        <v>644</v>
      </c>
      <c r="B19" s="144">
        <v>0</v>
      </c>
      <c r="C19" s="421">
        <v>0</v>
      </c>
      <c r="D19" s="422">
        <v>2</v>
      </c>
      <c r="E19" s="75">
        <f t="shared" si="0"/>
        <v>2</v>
      </c>
      <c r="F19" s="300" t="s">
        <v>644</v>
      </c>
      <c r="G19" s="135">
        <v>0</v>
      </c>
      <c r="H19" s="327">
        <v>0</v>
      </c>
      <c r="I19" s="214">
        <v>10</v>
      </c>
      <c r="J19" s="136">
        <f t="shared" si="1"/>
        <v>10</v>
      </c>
      <c r="K19" s="417" t="s">
        <v>437</v>
      </c>
      <c r="L19" s="423" t="s">
        <v>15</v>
      </c>
      <c r="M19" s="108" t="s">
        <v>15</v>
      </c>
      <c r="N19" s="424" t="s">
        <v>15</v>
      </c>
      <c r="O19" s="6" t="s">
        <v>15</v>
      </c>
      <c r="P19" s="152" t="s">
        <v>15</v>
      </c>
      <c r="Q19" s="157" t="s">
        <v>15</v>
      </c>
      <c r="R19" s="6">
        <v>2</v>
      </c>
      <c r="S19" s="152">
        <v>4</v>
      </c>
      <c r="T19" s="157">
        <v>50</v>
      </c>
      <c r="U19" s="6" t="s">
        <v>15</v>
      </c>
      <c r="V19" s="152" t="s">
        <v>15</v>
      </c>
      <c r="W19" s="157" t="s">
        <v>15</v>
      </c>
      <c r="AC19" s="148">
        <v>7</v>
      </c>
      <c r="AD19" s="7">
        <v>7</v>
      </c>
      <c r="AE19" s="153">
        <f t="shared" ref="AE19" si="9">SUM(AC19/AD19)*100</f>
        <v>100</v>
      </c>
      <c r="AF19" s="148">
        <v>17</v>
      </c>
      <c r="AG19" s="7">
        <v>20</v>
      </c>
      <c r="AH19" s="153">
        <f t="shared" ref="AH19" si="10">SUM(AF19/AG19)*100</f>
        <v>85</v>
      </c>
      <c r="AI19" s="148">
        <v>9</v>
      </c>
      <c r="AJ19" s="7">
        <v>12</v>
      </c>
      <c r="AK19" s="153">
        <f t="shared" ref="AK19" si="11">SUM(AI19/AJ19)*100</f>
        <v>75</v>
      </c>
      <c r="AL19" s="148" t="s">
        <v>15</v>
      </c>
      <c r="AM19" s="7" t="s">
        <v>15</v>
      </c>
      <c r="AN19" s="7" t="s">
        <v>15</v>
      </c>
      <c r="AO19" s="148" t="s">
        <v>15</v>
      </c>
      <c r="AP19" s="7" t="s">
        <v>15</v>
      </c>
      <c r="AQ19" s="7" t="s">
        <v>15</v>
      </c>
      <c r="AR19" s="148">
        <v>8</v>
      </c>
      <c r="AS19" s="7">
        <v>10</v>
      </c>
      <c r="AT19" s="153">
        <f>SUM(AR19/AS19)*100</f>
        <v>80</v>
      </c>
      <c r="AU19" s="6" t="s">
        <v>15</v>
      </c>
      <c r="AV19" s="7" t="s">
        <v>15</v>
      </c>
      <c r="AW19" s="7" t="s">
        <v>15</v>
      </c>
      <c r="AX19" s="148">
        <v>7</v>
      </c>
      <c r="AY19" s="7">
        <v>8</v>
      </c>
      <c r="AZ19" s="157">
        <f>SUM(AX19/AY19)*100</f>
        <v>87.5</v>
      </c>
      <c r="BA19" s="86"/>
      <c r="BB19" s="86"/>
      <c r="BC19" s="86"/>
      <c r="BD19" s="80"/>
      <c r="BE19" s="80"/>
    </row>
    <row r="20" spans="1:57" ht="14.95" customHeight="1" thickBot="1" x14ac:dyDescent="0.3">
      <c r="A20" s="311" t="s">
        <v>636</v>
      </c>
      <c r="B20" s="144">
        <v>0</v>
      </c>
      <c r="C20" s="421">
        <v>0</v>
      </c>
      <c r="D20" s="422">
        <v>0</v>
      </c>
      <c r="E20" s="75">
        <f t="shared" si="0"/>
        <v>0</v>
      </c>
      <c r="F20" s="300" t="s">
        <v>636</v>
      </c>
      <c r="G20" s="135">
        <v>0</v>
      </c>
      <c r="H20" s="327">
        <v>0</v>
      </c>
      <c r="I20" s="214">
        <v>0</v>
      </c>
      <c r="J20" s="136">
        <f t="shared" si="1"/>
        <v>0</v>
      </c>
      <c r="K20" s="417" t="s">
        <v>5</v>
      </c>
      <c r="L20" s="423" t="s">
        <v>15</v>
      </c>
      <c r="M20" s="108" t="s">
        <v>15</v>
      </c>
      <c r="N20" s="424" t="s">
        <v>15</v>
      </c>
      <c r="O20" s="154" t="s">
        <v>15</v>
      </c>
      <c r="P20" s="154" t="s">
        <v>15</v>
      </c>
      <c r="Q20" s="153" t="s">
        <v>15</v>
      </c>
      <c r="R20" s="154" t="s">
        <v>15</v>
      </c>
      <c r="S20" s="154" t="s">
        <v>15</v>
      </c>
      <c r="T20" s="153" t="s">
        <v>15</v>
      </c>
      <c r="U20" s="154" t="s">
        <v>15</v>
      </c>
      <c r="V20" s="154" t="s">
        <v>15</v>
      </c>
      <c r="W20" s="153" t="s">
        <v>15</v>
      </c>
      <c r="AC20" s="337" t="s">
        <v>15</v>
      </c>
      <c r="AD20" s="154" t="s">
        <v>15</v>
      </c>
      <c r="AE20" s="153" t="s">
        <v>15</v>
      </c>
      <c r="AF20" s="6" t="s">
        <v>15</v>
      </c>
      <c r="AG20" s="154" t="s">
        <v>15</v>
      </c>
      <c r="AH20" s="153" t="s">
        <v>15</v>
      </c>
      <c r="AI20" s="154" t="s">
        <v>15</v>
      </c>
      <c r="AJ20" s="154" t="s">
        <v>15</v>
      </c>
      <c r="AK20" s="153" t="s">
        <v>15</v>
      </c>
      <c r="AL20" s="154" t="s">
        <v>15</v>
      </c>
      <c r="AM20" s="154" t="s">
        <v>15</v>
      </c>
      <c r="AN20" s="153" t="s">
        <v>15</v>
      </c>
      <c r="AO20" s="154" t="s">
        <v>15</v>
      </c>
      <c r="AP20" s="154" t="s">
        <v>15</v>
      </c>
      <c r="AQ20" s="153" t="s">
        <v>15</v>
      </c>
      <c r="AR20" s="154" t="s">
        <v>15</v>
      </c>
      <c r="AS20" s="154" t="s">
        <v>15</v>
      </c>
      <c r="AT20" s="153" t="s">
        <v>15</v>
      </c>
      <c r="AU20" s="154" t="s">
        <v>15</v>
      </c>
      <c r="AV20" s="154" t="s">
        <v>15</v>
      </c>
      <c r="AW20" s="153" t="s">
        <v>15</v>
      </c>
      <c r="AX20" s="154" t="s">
        <v>15</v>
      </c>
      <c r="AY20" s="154" t="s">
        <v>15</v>
      </c>
      <c r="AZ20" s="153" t="s">
        <v>15</v>
      </c>
    </row>
    <row r="21" spans="1:57" ht="14.95" customHeight="1" thickBot="1" x14ac:dyDescent="0.3">
      <c r="A21" s="311" t="s">
        <v>297</v>
      </c>
      <c r="B21" s="144">
        <v>2</v>
      </c>
      <c r="C21" s="421">
        <v>0</v>
      </c>
      <c r="D21" s="422">
        <v>0</v>
      </c>
      <c r="E21" s="75">
        <f t="shared" si="0"/>
        <v>2</v>
      </c>
      <c r="F21" s="300" t="s">
        <v>297</v>
      </c>
      <c r="G21" s="135">
        <v>10</v>
      </c>
      <c r="H21" s="327">
        <v>0</v>
      </c>
      <c r="I21" s="214">
        <v>0</v>
      </c>
      <c r="J21" s="136">
        <f t="shared" si="1"/>
        <v>10</v>
      </c>
      <c r="K21" s="425" t="s">
        <v>440</v>
      </c>
      <c r="L21" s="423">
        <v>3</v>
      </c>
      <c r="M21" s="108">
        <v>5</v>
      </c>
      <c r="N21" s="424">
        <f t="shared" ref="N21" si="12">(L21/M21)*100</f>
        <v>60</v>
      </c>
      <c r="O21" s="154">
        <v>1</v>
      </c>
      <c r="P21" s="154">
        <v>1</v>
      </c>
      <c r="Q21" s="153">
        <v>100</v>
      </c>
      <c r="R21" s="154">
        <v>3</v>
      </c>
      <c r="S21" s="154">
        <v>3</v>
      </c>
      <c r="T21" s="153">
        <v>100</v>
      </c>
      <c r="U21" s="154" t="s">
        <v>15</v>
      </c>
      <c r="V21" s="154" t="s">
        <v>15</v>
      </c>
      <c r="W21" s="153" t="s">
        <v>15</v>
      </c>
      <c r="AC21" s="6" t="s">
        <v>15</v>
      </c>
      <c r="AD21" s="152" t="s">
        <v>15</v>
      </c>
      <c r="AE21" s="153" t="s">
        <v>15</v>
      </c>
      <c r="AF21" s="6" t="s">
        <v>15</v>
      </c>
      <c r="AG21" s="152" t="s">
        <v>15</v>
      </c>
      <c r="AH21" s="153" t="s">
        <v>15</v>
      </c>
      <c r="AI21" s="6" t="s">
        <v>15</v>
      </c>
      <c r="AJ21" s="6" t="s">
        <v>15</v>
      </c>
      <c r="AK21" s="157" t="s">
        <v>15</v>
      </c>
      <c r="AL21" s="6" t="s">
        <v>15</v>
      </c>
      <c r="AM21" s="6" t="s">
        <v>15</v>
      </c>
      <c r="AN21" s="157" t="s">
        <v>15</v>
      </c>
      <c r="AO21" s="6" t="s">
        <v>15</v>
      </c>
      <c r="AP21" s="6" t="s">
        <v>15</v>
      </c>
      <c r="AQ21" s="157" t="s">
        <v>15</v>
      </c>
      <c r="AR21" s="6" t="s">
        <v>15</v>
      </c>
      <c r="AS21" s="6" t="s">
        <v>15</v>
      </c>
      <c r="AT21" s="157" t="s">
        <v>15</v>
      </c>
      <c r="AU21" s="6" t="s">
        <v>15</v>
      </c>
      <c r="AV21" s="6" t="s">
        <v>15</v>
      </c>
      <c r="AW21" s="153" t="s">
        <v>15</v>
      </c>
      <c r="AX21" s="6" t="s">
        <v>15</v>
      </c>
      <c r="AY21" s="6" t="s">
        <v>15</v>
      </c>
      <c r="AZ21" s="153" t="s">
        <v>15</v>
      </c>
    </row>
    <row r="22" spans="1:57" ht="14.95" customHeight="1" thickBot="1" x14ac:dyDescent="0.3">
      <c r="A22" s="311" t="s">
        <v>630</v>
      </c>
      <c r="B22" s="144">
        <v>0</v>
      </c>
      <c r="C22" s="421">
        <v>0</v>
      </c>
      <c r="D22" s="422">
        <v>0</v>
      </c>
      <c r="E22" s="75">
        <f t="shared" si="0"/>
        <v>0</v>
      </c>
      <c r="F22" s="300" t="s">
        <v>630</v>
      </c>
      <c r="G22" s="135">
        <v>0</v>
      </c>
      <c r="H22" s="327">
        <v>0</v>
      </c>
      <c r="I22" s="214">
        <v>0</v>
      </c>
      <c r="J22" s="136">
        <f t="shared" si="1"/>
        <v>0</v>
      </c>
      <c r="K22" t="s">
        <v>21</v>
      </c>
      <c r="O22" s="34"/>
      <c r="P22" s="37"/>
      <c r="Q22" s="37"/>
      <c r="R22" s="37"/>
      <c r="S22" s="37"/>
      <c r="T22" s="37"/>
      <c r="U22" s="37"/>
      <c r="V22" s="37"/>
      <c r="W22" s="37"/>
    </row>
    <row r="23" spans="1:57" ht="14.95" customHeight="1" thickBot="1" x14ac:dyDescent="0.3">
      <c r="A23" s="311" t="s">
        <v>197</v>
      </c>
      <c r="B23" s="144">
        <v>1</v>
      </c>
      <c r="C23" s="421">
        <v>3</v>
      </c>
      <c r="D23" s="422">
        <v>0</v>
      </c>
      <c r="E23" s="75">
        <f t="shared" si="0"/>
        <v>4</v>
      </c>
      <c r="F23" s="300" t="s">
        <v>197</v>
      </c>
      <c r="G23" s="135">
        <v>5</v>
      </c>
      <c r="H23" s="327">
        <v>15</v>
      </c>
      <c r="I23" s="214">
        <v>0</v>
      </c>
      <c r="J23" s="136">
        <f t="shared" si="1"/>
        <v>20</v>
      </c>
      <c r="K23" s="487" t="s">
        <v>196</v>
      </c>
      <c r="L23" s="465" t="s">
        <v>14</v>
      </c>
      <c r="M23" s="466"/>
      <c r="N23" s="467"/>
      <c r="O23" s="457" t="s">
        <v>234</v>
      </c>
      <c r="P23" s="458"/>
      <c r="Q23" s="459"/>
      <c r="R23" s="457" t="s">
        <v>903</v>
      </c>
      <c r="S23" s="458"/>
      <c r="T23" s="459"/>
      <c r="U23" s="457" t="s">
        <v>601</v>
      </c>
      <c r="V23" s="458"/>
      <c r="W23" s="459"/>
      <c r="AC23" s="457" t="s">
        <v>494</v>
      </c>
      <c r="AD23" s="458"/>
      <c r="AE23" s="459"/>
      <c r="AF23" s="457" t="s">
        <v>407</v>
      </c>
      <c r="AG23" s="458"/>
      <c r="AH23" s="459"/>
      <c r="AI23" s="457" t="s">
        <v>313</v>
      </c>
      <c r="AJ23" s="458"/>
      <c r="AK23" s="459"/>
      <c r="AL23" s="465" t="s">
        <v>227</v>
      </c>
      <c r="AM23" s="466"/>
      <c r="AN23" s="467"/>
      <c r="AO23" s="457" t="s">
        <v>79</v>
      </c>
      <c r="AP23" s="458"/>
      <c r="AQ23" s="459"/>
      <c r="AR23" s="457" t="s">
        <v>54</v>
      </c>
      <c r="AS23" s="506"/>
      <c r="AT23" s="507"/>
      <c r="AU23" s="457" t="s">
        <v>50</v>
      </c>
      <c r="AV23" s="506"/>
      <c r="AW23" s="507"/>
      <c r="AX23" s="457" t="s">
        <v>37</v>
      </c>
      <c r="AY23" s="506"/>
      <c r="AZ23" s="507"/>
    </row>
    <row r="24" spans="1:57" ht="14.95" customHeight="1" thickBot="1" x14ac:dyDescent="0.3">
      <c r="A24" s="311" t="s">
        <v>469</v>
      </c>
      <c r="B24" s="144">
        <v>1</v>
      </c>
      <c r="C24" s="421">
        <v>0</v>
      </c>
      <c r="D24" s="422">
        <v>0</v>
      </c>
      <c r="E24" s="75">
        <f t="shared" si="0"/>
        <v>1</v>
      </c>
      <c r="F24" s="300" t="s">
        <v>469</v>
      </c>
      <c r="G24" s="135">
        <v>5</v>
      </c>
      <c r="H24" s="327">
        <v>0</v>
      </c>
      <c r="I24" s="214">
        <v>0</v>
      </c>
      <c r="J24" s="136">
        <f t="shared" si="1"/>
        <v>5</v>
      </c>
      <c r="K24" s="488"/>
      <c r="L24" s="468"/>
      <c r="M24" s="469"/>
      <c r="N24" s="470"/>
      <c r="O24" s="460"/>
      <c r="P24" s="461"/>
      <c r="Q24" s="462"/>
      <c r="R24" s="460"/>
      <c r="S24" s="461"/>
      <c r="T24" s="462"/>
      <c r="U24" s="460"/>
      <c r="V24" s="461"/>
      <c r="W24" s="462"/>
      <c r="AC24" s="460"/>
      <c r="AD24" s="461"/>
      <c r="AE24" s="462"/>
      <c r="AF24" s="460"/>
      <c r="AG24" s="461"/>
      <c r="AH24" s="462"/>
      <c r="AI24" s="460"/>
      <c r="AJ24" s="461"/>
      <c r="AK24" s="462"/>
      <c r="AL24" s="468"/>
      <c r="AM24" s="469"/>
      <c r="AN24" s="470"/>
      <c r="AO24" s="460"/>
      <c r="AP24" s="461"/>
      <c r="AQ24" s="462"/>
      <c r="AR24" s="508"/>
      <c r="AS24" s="509"/>
      <c r="AT24" s="510"/>
      <c r="AU24" s="508"/>
      <c r="AV24" s="509"/>
      <c r="AW24" s="510"/>
      <c r="AX24" s="508"/>
      <c r="AY24" s="509"/>
      <c r="AZ24" s="510"/>
    </row>
    <row r="25" spans="1:57" ht="14.95" customHeight="1" thickBot="1" x14ac:dyDescent="0.3">
      <c r="A25" s="311" t="s">
        <v>952</v>
      </c>
      <c r="B25" s="144">
        <v>1</v>
      </c>
      <c r="C25" s="421">
        <v>0</v>
      </c>
      <c r="D25" s="422">
        <v>0</v>
      </c>
      <c r="E25" s="75">
        <f t="shared" si="0"/>
        <v>1</v>
      </c>
      <c r="F25" s="300" t="s">
        <v>952</v>
      </c>
      <c r="G25" s="135">
        <v>5</v>
      </c>
      <c r="H25" s="327">
        <v>0</v>
      </c>
      <c r="I25" s="214">
        <v>0</v>
      </c>
      <c r="J25" s="136">
        <f t="shared" si="1"/>
        <v>5</v>
      </c>
      <c r="K25" s="248" t="s">
        <v>21</v>
      </c>
      <c r="L25" s="84" t="s">
        <v>46</v>
      </c>
      <c r="M25" s="79" t="s">
        <v>9</v>
      </c>
      <c r="N25" s="79" t="s">
        <v>10</v>
      </c>
      <c r="O25" s="148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C25" s="148" t="s">
        <v>46</v>
      </c>
      <c r="AD25" s="7" t="s">
        <v>9</v>
      </c>
      <c r="AE25" s="7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84" t="s">
        <v>46</v>
      </c>
      <c r="AM25" s="79" t="s">
        <v>9</v>
      </c>
      <c r="AN25" s="79" t="s">
        <v>10</v>
      </c>
      <c r="AO25" s="148" t="s">
        <v>46</v>
      </c>
      <c r="AP25" s="7" t="s">
        <v>9</v>
      </c>
      <c r="AQ25" s="7" t="s">
        <v>10</v>
      </c>
      <c r="AR25" s="6" t="s">
        <v>46</v>
      </c>
      <c r="AS25" s="6" t="s">
        <v>9</v>
      </c>
      <c r="AT25" s="6" t="s">
        <v>10</v>
      </c>
      <c r="AU25" s="6" t="s">
        <v>46</v>
      </c>
      <c r="AV25" s="6" t="s">
        <v>9</v>
      </c>
      <c r="AW25" s="6" t="s">
        <v>10</v>
      </c>
      <c r="AX25" s="6" t="s">
        <v>46</v>
      </c>
      <c r="AY25" s="6" t="s">
        <v>9</v>
      </c>
      <c r="AZ25" s="6" t="s">
        <v>10</v>
      </c>
    </row>
    <row r="26" spans="1:57" ht="14.95" customHeight="1" thickBot="1" x14ac:dyDescent="0.3">
      <c r="A26" s="311" t="s">
        <v>574</v>
      </c>
      <c r="B26" s="144">
        <v>0</v>
      </c>
      <c r="C26" s="421">
        <v>3</v>
      </c>
      <c r="D26" s="422">
        <v>0</v>
      </c>
      <c r="E26" s="75">
        <f t="shared" si="0"/>
        <v>3</v>
      </c>
      <c r="F26" s="300" t="s">
        <v>574</v>
      </c>
      <c r="G26" s="135">
        <v>0</v>
      </c>
      <c r="H26" s="327">
        <v>15</v>
      </c>
      <c r="I26" s="214">
        <v>0</v>
      </c>
      <c r="J26" s="136">
        <f t="shared" si="1"/>
        <v>15</v>
      </c>
      <c r="K26" s="417" t="s">
        <v>1029</v>
      </c>
      <c r="L26" s="6" t="s">
        <v>15</v>
      </c>
      <c r="M26" s="152" t="s">
        <v>15</v>
      </c>
      <c r="N26" s="153" t="s">
        <v>15</v>
      </c>
      <c r="O26" s="6" t="s">
        <v>15</v>
      </c>
      <c r="P26" s="152" t="s">
        <v>15</v>
      </c>
      <c r="Q26" s="153" t="s">
        <v>15</v>
      </c>
      <c r="R26" s="6" t="s">
        <v>15</v>
      </c>
      <c r="S26" s="152" t="s">
        <v>15</v>
      </c>
      <c r="T26" s="153" t="s">
        <v>15</v>
      </c>
      <c r="U26" s="7">
        <v>2</v>
      </c>
      <c r="V26" s="7">
        <v>3</v>
      </c>
      <c r="W26" s="153">
        <v>67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148" t="s">
        <v>15</v>
      </c>
      <c r="AJ26" s="7" t="s">
        <v>15</v>
      </c>
      <c r="AK26" s="153" t="s">
        <v>15</v>
      </c>
      <c r="AL26" s="6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</row>
    <row r="27" spans="1:57" ht="14.95" customHeight="1" thickBot="1" x14ac:dyDescent="0.3">
      <c r="A27" s="311" t="s">
        <v>475</v>
      </c>
      <c r="B27" s="144">
        <v>0</v>
      </c>
      <c r="C27" s="421">
        <v>0</v>
      </c>
      <c r="D27" s="422">
        <v>1</v>
      </c>
      <c r="E27" s="75">
        <f t="shared" si="0"/>
        <v>1</v>
      </c>
      <c r="F27" s="300" t="s">
        <v>475</v>
      </c>
      <c r="G27" s="135">
        <v>0</v>
      </c>
      <c r="H27" s="327">
        <v>0</v>
      </c>
      <c r="I27" s="214">
        <v>5</v>
      </c>
      <c r="J27" s="136">
        <f t="shared" si="1"/>
        <v>5</v>
      </c>
      <c r="K27" s="417" t="s">
        <v>437</v>
      </c>
      <c r="L27" s="337" t="s">
        <v>15</v>
      </c>
      <c r="M27" s="154" t="s">
        <v>15</v>
      </c>
      <c r="N27" s="153" t="s">
        <v>15</v>
      </c>
      <c r="O27" s="337" t="s">
        <v>15</v>
      </c>
      <c r="P27" s="154" t="s">
        <v>15</v>
      </c>
      <c r="Q27" s="153" t="s">
        <v>15</v>
      </c>
      <c r="R27" s="337" t="s">
        <v>15</v>
      </c>
      <c r="S27" s="154" t="s">
        <v>15</v>
      </c>
      <c r="T27" s="153" t="s">
        <v>15</v>
      </c>
      <c r="U27" s="7">
        <v>17</v>
      </c>
      <c r="V27" s="7">
        <v>19</v>
      </c>
      <c r="W27" s="153">
        <v>89.473684210526315</v>
      </c>
      <c r="AC27" s="148" t="s">
        <v>15</v>
      </c>
      <c r="AD27" s="7" t="s">
        <v>15</v>
      </c>
      <c r="AE27" s="153" t="s">
        <v>15</v>
      </c>
      <c r="AF27" s="148" t="s">
        <v>15</v>
      </c>
      <c r="AG27" s="7" t="s">
        <v>15</v>
      </c>
      <c r="AH27" s="153" t="s">
        <v>15</v>
      </c>
      <c r="AI27" s="148">
        <v>17</v>
      </c>
      <c r="AJ27" s="7">
        <v>20</v>
      </c>
      <c r="AK27" s="153">
        <f t="shared" ref="AK27" si="13">SUM(AI27/AJ27)*100</f>
        <v>85</v>
      </c>
      <c r="AL27" s="148">
        <v>4</v>
      </c>
      <c r="AM27" s="7">
        <v>4</v>
      </c>
      <c r="AN27" s="7">
        <v>100</v>
      </c>
      <c r="AO27" s="148">
        <v>5</v>
      </c>
      <c r="AP27" s="7">
        <v>6</v>
      </c>
      <c r="AQ27" s="153">
        <f t="shared" ref="AQ27" si="14">SUM(AO27/AP27)*100</f>
        <v>83.333333333333343</v>
      </c>
      <c r="AR27" s="148" t="s">
        <v>15</v>
      </c>
      <c r="AS27" s="7" t="s">
        <v>15</v>
      </c>
      <c r="AT27" s="7" t="s">
        <v>15</v>
      </c>
      <c r="AU27" s="148">
        <v>6</v>
      </c>
      <c r="AV27" s="7">
        <v>16</v>
      </c>
      <c r="AW27" s="153">
        <f>SUM(AU27/AV27)*100</f>
        <v>37.5</v>
      </c>
      <c r="AX27" s="7" t="s">
        <v>15</v>
      </c>
      <c r="AY27" s="7" t="s">
        <v>15</v>
      </c>
      <c r="AZ27" s="148" t="s">
        <v>15</v>
      </c>
    </row>
    <row r="28" spans="1:57" ht="14.95" customHeight="1" thickBot="1" x14ac:dyDescent="0.3">
      <c r="A28" s="311" t="s">
        <v>633</v>
      </c>
      <c r="B28" s="144">
        <v>0</v>
      </c>
      <c r="C28" s="421">
        <v>0</v>
      </c>
      <c r="D28" s="422">
        <v>0</v>
      </c>
      <c r="E28" s="75">
        <f t="shared" si="0"/>
        <v>0</v>
      </c>
      <c r="F28" s="300" t="s">
        <v>633</v>
      </c>
      <c r="G28" s="135">
        <v>0</v>
      </c>
      <c r="H28" s="327">
        <v>0</v>
      </c>
      <c r="I28" s="214">
        <v>0</v>
      </c>
      <c r="J28" s="136">
        <f t="shared" si="1"/>
        <v>0</v>
      </c>
      <c r="K28" s="417" t="s">
        <v>5</v>
      </c>
      <c r="L28" s="6" t="s">
        <v>15</v>
      </c>
      <c r="M28" s="152" t="s">
        <v>15</v>
      </c>
      <c r="N28" s="153" t="s">
        <v>15</v>
      </c>
      <c r="O28" s="6" t="s">
        <v>15</v>
      </c>
      <c r="P28" s="152" t="s">
        <v>15</v>
      </c>
      <c r="Q28" s="153" t="s">
        <v>15</v>
      </c>
      <c r="R28" s="6" t="s">
        <v>15</v>
      </c>
      <c r="S28" s="152" t="s">
        <v>15</v>
      </c>
      <c r="T28" s="153" t="s">
        <v>15</v>
      </c>
      <c r="U28" s="7">
        <v>0</v>
      </c>
      <c r="V28" s="7">
        <v>1</v>
      </c>
      <c r="W28" s="153">
        <v>0</v>
      </c>
      <c r="AC28" s="148" t="s">
        <v>15</v>
      </c>
      <c r="AD28" s="7" t="s">
        <v>15</v>
      </c>
      <c r="AE28" s="153" t="s">
        <v>15</v>
      </c>
      <c r="AF28" s="148" t="s">
        <v>15</v>
      </c>
      <c r="AG28" s="7" t="s">
        <v>15</v>
      </c>
      <c r="AH28" s="153" t="s">
        <v>15</v>
      </c>
      <c r="AI28" s="148" t="s">
        <v>15</v>
      </c>
      <c r="AJ28" s="7" t="s">
        <v>15</v>
      </c>
      <c r="AK28" s="153" t="s">
        <v>15</v>
      </c>
      <c r="AL28" s="6" t="s">
        <v>15</v>
      </c>
      <c r="AM28" s="7" t="s">
        <v>15</v>
      </c>
      <c r="AN28" s="153" t="s">
        <v>15</v>
      </c>
      <c r="AO28" s="7" t="s">
        <v>15</v>
      </c>
      <c r="AP28" s="7" t="s">
        <v>15</v>
      </c>
      <c r="AQ28" s="153" t="s">
        <v>15</v>
      </c>
      <c r="AR28" s="7" t="s">
        <v>15</v>
      </c>
      <c r="AS28" s="7" t="s">
        <v>15</v>
      </c>
      <c r="AT28" s="153" t="s">
        <v>15</v>
      </c>
      <c r="AU28" s="7" t="s">
        <v>15</v>
      </c>
      <c r="AV28" s="7" t="s">
        <v>15</v>
      </c>
      <c r="AW28" s="153" t="s">
        <v>15</v>
      </c>
      <c r="AX28" s="7" t="s">
        <v>15</v>
      </c>
      <c r="AY28" s="7" t="s">
        <v>15</v>
      </c>
      <c r="AZ28" s="153" t="s">
        <v>15</v>
      </c>
    </row>
    <row r="29" spans="1:57" ht="14.95" customHeight="1" thickBot="1" x14ac:dyDescent="0.3">
      <c r="A29" s="311" t="s">
        <v>374</v>
      </c>
      <c r="B29" s="144">
        <v>1</v>
      </c>
      <c r="C29" s="421">
        <v>0</v>
      </c>
      <c r="D29" s="422">
        <v>0</v>
      </c>
      <c r="E29" s="75">
        <f t="shared" si="0"/>
        <v>1</v>
      </c>
      <c r="F29" s="300" t="s">
        <v>374</v>
      </c>
      <c r="G29" s="135">
        <v>36</v>
      </c>
      <c r="H29" s="327">
        <v>32</v>
      </c>
      <c r="I29" s="215">
        <v>0</v>
      </c>
      <c r="J29" s="139">
        <f t="shared" si="1"/>
        <v>68</v>
      </c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57" ht="14.95" customHeight="1" thickBot="1" x14ac:dyDescent="0.3">
      <c r="A30" s="311" t="s">
        <v>275</v>
      </c>
      <c r="B30" s="144">
        <v>0</v>
      </c>
      <c r="C30" s="421">
        <v>0</v>
      </c>
      <c r="D30" s="422">
        <v>0</v>
      </c>
      <c r="E30" s="75">
        <f t="shared" si="0"/>
        <v>0</v>
      </c>
      <c r="F30" s="300" t="s">
        <v>275</v>
      </c>
      <c r="G30" s="135">
        <v>0</v>
      </c>
      <c r="H30" s="327">
        <v>0</v>
      </c>
      <c r="I30" s="215">
        <v>0</v>
      </c>
      <c r="J30" s="139">
        <f t="shared" si="1"/>
        <v>0</v>
      </c>
      <c r="K30" s="479" t="s">
        <v>1032</v>
      </c>
      <c r="L30" s="481" t="s">
        <v>14</v>
      </c>
      <c r="M30" s="482"/>
      <c r="N30" s="483"/>
      <c r="O30" s="457" t="s">
        <v>234</v>
      </c>
      <c r="P30" s="458"/>
      <c r="Q30" s="459"/>
      <c r="R30" s="457" t="s">
        <v>903</v>
      </c>
      <c r="S30" s="458"/>
      <c r="T30" s="459"/>
      <c r="U30" s="457" t="s">
        <v>601</v>
      </c>
      <c r="V30" s="458"/>
      <c r="W30" s="459"/>
      <c r="AC30" s="457" t="s">
        <v>494</v>
      </c>
      <c r="AD30" s="458"/>
      <c r="AE30" s="459"/>
      <c r="AF30" s="457" t="s">
        <v>313</v>
      </c>
      <c r="AG30" s="458"/>
      <c r="AH30" s="459"/>
      <c r="AI30" s="457" t="s">
        <v>227</v>
      </c>
      <c r="AJ30" s="458"/>
      <c r="AK30" s="459"/>
      <c r="AL30" s="465" t="s">
        <v>172</v>
      </c>
      <c r="AM30" s="466"/>
      <c r="AN30" s="467"/>
      <c r="AO30" s="457" t="s">
        <v>79</v>
      </c>
      <c r="AP30" s="458"/>
      <c r="AQ30" s="459"/>
      <c r="AR30" s="205"/>
    </row>
    <row r="31" spans="1:57" ht="14.95" customHeight="1" thickBot="1" x14ac:dyDescent="0.3">
      <c r="A31" s="311" t="s">
        <v>235</v>
      </c>
      <c r="B31" s="144">
        <v>0</v>
      </c>
      <c r="C31" s="421">
        <v>1</v>
      </c>
      <c r="D31" s="422">
        <v>0</v>
      </c>
      <c r="E31" s="75">
        <f t="shared" si="0"/>
        <v>1</v>
      </c>
      <c r="F31" s="300" t="s">
        <v>235</v>
      </c>
      <c r="G31" s="135">
        <v>0</v>
      </c>
      <c r="H31" s="327">
        <v>5</v>
      </c>
      <c r="I31" s="215">
        <v>0</v>
      </c>
      <c r="J31" s="139">
        <f t="shared" si="1"/>
        <v>5</v>
      </c>
      <c r="K31" s="480"/>
      <c r="L31" s="484"/>
      <c r="M31" s="485"/>
      <c r="N31" s="486"/>
      <c r="O31" s="460"/>
      <c r="P31" s="461"/>
      <c r="Q31" s="462"/>
      <c r="R31" s="460"/>
      <c r="S31" s="461"/>
      <c r="T31" s="462"/>
      <c r="U31" s="460"/>
      <c r="V31" s="461"/>
      <c r="W31" s="462"/>
      <c r="AC31" s="460"/>
      <c r="AD31" s="461"/>
      <c r="AE31" s="462"/>
      <c r="AF31" s="460"/>
      <c r="AG31" s="461"/>
      <c r="AH31" s="462"/>
      <c r="AI31" s="460"/>
      <c r="AJ31" s="461"/>
      <c r="AK31" s="462"/>
      <c r="AL31" s="468"/>
      <c r="AM31" s="469"/>
      <c r="AN31" s="470"/>
      <c r="AO31" s="460"/>
      <c r="AP31" s="461"/>
      <c r="AQ31" s="462"/>
      <c r="AR31" s="92"/>
    </row>
    <row r="32" spans="1:57" ht="14.95" customHeight="1" thickBot="1" x14ac:dyDescent="0.3">
      <c r="A32" s="311" t="s">
        <v>390</v>
      </c>
      <c r="B32" s="144">
        <v>0</v>
      </c>
      <c r="C32" s="421">
        <v>0</v>
      </c>
      <c r="D32" s="422">
        <v>0</v>
      </c>
      <c r="E32" s="75">
        <f t="shared" si="0"/>
        <v>0</v>
      </c>
      <c r="F32" s="300" t="s">
        <v>390</v>
      </c>
      <c r="G32" s="135">
        <v>0</v>
      </c>
      <c r="H32" s="327">
        <v>0</v>
      </c>
      <c r="I32" s="215">
        <v>0</v>
      </c>
      <c r="J32" s="139">
        <f t="shared" si="1"/>
        <v>0</v>
      </c>
      <c r="K32" s="432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338" t="s">
        <v>46</v>
      </c>
      <c r="AG32" s="156" t="s">
        <v>9</v>
      </c>
      <c r="AH32" s="156" t="s">
        <v>10</v>
      </c>
      <c r="AI32" s="6" t="s">
        <v>46</v>
      </c>
      <c r="AJ32" s="6" t="s">
        <v>9</v>
      </c>
      <c r="AK32" s="6" t="s">
        <v>10</v>
      </c>
      <c r="AL32" s="97" t="s">
        <v>46</v>
      </c>
      <c r="AM32" s="97" t="s">
        <v>9</v>
      </c>
      <c r="AN32" s="97" t="s">
        <v>10</v>
      </c>
      <c r="AO32" s="6" t="s">
        <v>46</v>
      </c>
      <c r="AP32" s="7" t="s">
        <v>9</v>
      </c>
      <c r="AQ32" s="7" t="s">
        <v>10</v>
      </c>
      <c r="AR32" s="92"/>
      <c r="AX32" s="4"/>
    </row>
    <row r="33" spans="1:50" ht="14.95" customHeight="1" thickBot="1" x14ac:dyDescent="0.3">
      <c r="A33" s="311" t="s">
        <v>833</v>
      </c>
      <c r="B33" s="144">
        <v>0</v>
      </c>
      <c r="C33" s="421">
        <v>0</v>
      </c>
      <c r="D33" s="422">
        <v>0</v>
      </c>
      <c r="E33" s="75">
        <f t="shared" si="0"/>
        <v>0</v>
      </c>
      <c r="F33" s="300" t="s">
        <v>833</v>
      </c>
      <c r="G33" s="135">
        <v>0</v>
      </c>
      <c r="H33" s="327">
        <v>0</v>
      </c>
      <c r="I33" s="215">
        <v>0</v>
      </c>
      <c r="J33" s="139">
        <f t="shared" si="1"/>
        <v>0</v>
      </c>
      <c r="K33" s="417" t="s">
        <v>811</v>
      </c>
      <c r="L33" s="427" t="s">
        <v>15</v>
      </c>
      <c r="M33" s="427" t="s">
        <v>15</v>
      </c>
      <c r="N33" s="428" t="s">
        <v>15</v>
      </c>
      <c r="O33" s="154">
        <v>3</v>
      </c>
      <c r="P33" s="154">
        <v>7</v>
      </c>
      <c r="Q33" s="153">
        <v>42.857142857142854</v>
      </c>
      <c r="R33" s="154" t="s">
        <v>15</v>
      </c>
      <c r="S33" s="154" t="s">
        <v>15</v>
      </c>
      <c r="T33" s="153" t="s">
        <v>15</v>
      </c>
      <c r="U33" s="154" t="s">
        <v>15</v>
      </c>
      <c r="V33" s="154" t="s">
        <v>15</v>
      </c>
      <c r="W33" s="153" t="s">
        <v>15</v>
      </c>
      <c r="AC33" s="337" t="s">
        <v>15</v>
      </c>
      <c r="AD33" s="154" t="s">
        <v>15</v>
      </c>
      <c r="AE33" s="153" t="s">
        <v>15</v>
      </c>
      <c r="AF33" s="337" t="s">
        <v>15</v>
      </c>
      <c r="AG33" s="154" t="s">
        <v>15</v>
      </c>
      <c r="AH33" s="157" t="s">
        <v>15</v>
      </c>
      <c r="AI33" s="6" t="s">
        <v>15</v>
      </c>
      <c r="AJ33" s="154" t="s">
        <v>15</v>
      </c>
      <c r="AK33" s="153" t="s">
        <v>15</v>
      </c>
      <c r="AL33" s="154" t="s">
        <v>15</v>
      </c>
      <c r="AM33" s="154" t="s">
        <v>15</v>
      </c>
      <c r="AN33" s="153" t="s">
        <v>15</v>
      </c>
      <c r="AO33" s="154" t="s">
        <v>15</v>
      </c>
      <c r="AP33" s="154" t="s">
        <v>15</v>
      </c>
      <c r="AQ33" s="153" t="s">
        <v>15</v>
      </c>
      <c r="AR33" s="92"/>
    </row>
    <row r="34" spans="1:50" ht="14.95" customHeight="1" thickBot="1" x14ac:dyDescent="0.3">
      <c r="A34" s="311" t="s">
        <v>93</v>
      </c>
      <c r="B34" s="144">
        <v>0</v>
      </c>
      <c r="C34" s="421">
        <v>0</v>
      </c>
      <c r="D34" s="422">
        <v>0</v>
      </c>
      <c r="E34" s="75">
        <f t="shared" si="0"/>
        <v>0</v>
      </c>
      <c r="F34" s="300" t="s">
        <v>93</v>
      </c>
      <c r="G34" s="135">
        <v>0</v>
      </c>
      <c r="H34" s="327">
        <v>0</v>
      </c>
      <c r="I34" s="215">
        <v>0</v>
      </c>
      <c r="J34" s="139">
        <f t="shared" si="1"/>
        <v>0</v>
      </c>
      <c r="K34" s="417" t="s">
        <v>593</v>
      </c>
      <c r="L34" s="427" t="s">
        <v>15</v>
      </c>
      <c r="M34" s="427" t="s">
        <v>15</v>
      </c>
      <c r="N34" s="428" t="s">
        <v>15</v>
      </c>
      <c r="O34" s="154">
        <v>6</v>
      </c>
      <c r="P34" s="154">
        <v>8</v>
      </c>
      <c r="Q34" s="153">
        <v>75</v>
      </c>
      <c r="R34" s="154" t="s">
        <v>15</v>
      </c>
      <c r="S34" s="154" t="s">
        <v>15</v>
      </c>
      <c r="T34" s="153" t="s">
        <v>15</v>
      </c>
      <c r="U34" s="154" t="s">
        <v>15</v>
      </c>
      <c r="V34" s="154" t="s">
        <v>15</v>
      </c>
      <c r="W34" s="153" t="s">
        <v>15</v>
      </c>
      <c r="AC34" s="337" t="s">
        <v>15</v>
      </c>
      <c r="AD34" s="154" t="s">
        <v>15</v>
      </c>
      <c r="AE34" s="153" t="s">
        <v>15</v>
      </c>
      <c r="AF34" s="337" t="s">
        <v>15</v>
      </c>
      <c r="AG34" s="154" t="s">
        <v>15</v>
      </c>
      <c r="AH34" s="157" t="s">
        <v>15</v>
      </c>
      <c r="AI34" s="6" t="s">
        <v>15</v>
      </c>
      <c r="AJ34" s="154" t="s">
        <v>15</v>
      </c>
      <c r="AK34" s="153" t="s">
        <v>15</v>
      </c>
      <c r="AL34" s="154" t="s">
        <v>15</v>
      </c>
      <c r="AM34" s="154" t="s">
        <v>15</v>
      </c>
      <c r="AN34" s="153" t="s">
        <v>15</v>
      </c>
      <c r="AO34" s="154" t="s">
        <v>15</v>
      </c>
      <c r="AP34" s="154" t="s">
        <v>15</v>
      </c>
      <c r="AQ34" s="153" t="s">
        <v>15</v>
      </c>
      <c r="AR34" s="92"/>
    </row>
    <row r="35" spans="1:50" ht="14.95" customHeight="1" thickBot="1" x14ac:dyDescent="0.3">
      <c r="A35" s="311" t="s">
        <v>51</v>
      </c>
      <c r="B35" s="144">
        <v>0</v>
      </c>
      <c r="C35" s="421">
        <v>0</v>
      </c>
      <c r="D35" s="422">
        <v>0</v>
      </c>
      <c r="E35" s="75">
        <f t="shared" si="0"/>
        <v>0</v>
      </c>
      <c r="F35" s="300" t="s">
        <v>51</v>
      </c>
      <c r="G35" s="135">
        <v>3</v>
      </c>
      <c r="H35" s="327">
        <v>0</v>
      </c>
      <c r="I35" s="215">
        <v>11</v>
      </c>
      <c r="J35" s="139">
        <f t="shared" si="1"/>
        <v>14</v>
      </c>
      <c r="K35" s="417" t="s">
        <v>390</v>
      </c>
      <c r="L35" s="427" t="s">
        <v>15</v>
      </c>
      <c r="M35" s="427" t="s">
        <v>15</v>
      </c>
      <c r="N35" s="428" t="s">
        <v>15</v>
      </c>
      <c r="O35" s="154">
        <v>2</v>
      </c>
      <c r="P35" s="154">
        <v>3</v>
      </c>
      <c r="Q35" s="153">
        <v>66.666666666666657</v>
      </c>
      <c r="R35" s="154" t="s">
        <v>15</v>
      </c>
      <c r="S35" s="154" t="s">
        <v>15</v>
      </c>
      <c r="T35" s="153" t="s">
        <v>15</v>
      </c>
      <c r="U35" s="154" t="s">
        <v>15</v>
      </c>
      <c r="V35" s="154" t="s">
        <v>15</v>
      </c>
      <c r="W35" s="153" t="s">
        <v>15</v>
      </c>
      <c r="AC35" s="337" t="s">
        <v>15</v>
      </c>
      <c r="AD35" s="154" t="s">
        <v>15</v>
      </c>
      <c r="AE35" s="153" t="s">
        <v>15</v>
      </c>
      <c r="AF35" s="337" t="s">
        <v>15</v>
      </c>
      <c r="AG35" s="154" t="s">
        <v>15</v>
      </c>
      <c r="AH35" s="157" t="s">
        <v>15</v>
      </c>
      <c r="AI35" s="6" t="s">
        <v>15</v>
      </c>
      <c r="AJ35" s="154" t="s">
        <v>15</v>
      </c>
      <c r="AK35" s="153" t="s">
        <v>15</v>
      </c>
      <c r="AL35" s="154" t="s">
        <v>15</v>
      </c>
      <c r="AM35" s="154" t="s">
        <v>15</v>
      </c>
      <c r="AN35" s="153" t="s">
        <v>15</v>
      </c>
      <c r="AO35" s="154" t="s">
        <v>15</v>
      </c>
      <c r="AP35" s="154" t="s">
        <v>15</v>
      </c>
      <c r="AQ35" s="153" t="s">
        <v>15</v>
      </c>
      <c r="AR35" s="92"/>
    </row>
    <row r="36" spans="1:50" ht="14.95" customHeight="1" thickBot="1" x14ac:dyDescent="0.3">
      <c r="A36" s="311" t="s">
        <v>496</v>
      </c>
      <c r="B36" s="144">
        <v>5</v>
      </c>
      <c r="C36" s="421">
        <v>2</v>
      </c>
      <c r="D36" s="422">
        <v>0</v>
      </c>
      <c r="E36" s="75">
        <f t="shared" si="0"/>
        <v>7</v>
      </c>
      <c r="F36" s="300" t="s">
        <v>496</v>
      </c>
      <c r="G36" s="135">
        <v>25</v>
      </c>
      <c r="H36" s="327">
        <v>10</v>
      </c>
      <c r="I36" s="215">
        <v>0</v>
      </c>
      <c r="J36" s="139">
        <f t="shared" si="1"/>
        <v>35</v>
      </c>
      <c r="K36" s="417" t="s">
        <v>437</v>
      </c>
      <c r="L36" s="427">
        <v>5</v>
      </c>
      <c r="M36" s="427">
        <v>7</v>
      </c>
      <c r="N36" s="428">
        <f t="shared" ref="N36:N37" si="15">(L36/M36)*100</f>
        <v>71.428571428571431</v>
      </c>
      <c r="O36" s="154" t="s">
        <v>15</v>
      </c>
      <c r="P36" s="154" t="s">
        <v>15</v>
      </c>
      <c r="Q36" s="153" t="s">
        <v>15</v>
      </c>
      <c r="R36" s="154">
        <v>6</v>
      </c>
      <c r="S36" s="154">
        <v>11</v>
      </c>
      <c r="T36" s="153">
        <v>100</v>
      </c>
      <c r="U36" s="154" t="s">
        <v>15</v>
      </c>
      <c r="V36" s="154" t="s">
        <v>15</v>
      </c>
      <c r="W36" s="153" t="s">
        <v>15</v>
      </c>
      <c r="AC36" s="337" t="s">
        <v>15</v>
      </c>
      <c r="AD36" s="154" t="s">
        <v>15</v>
      </c>
      <c r="AE36" s="153" t="s">
        <v>15</v>
      </c>
      <c r="AF36" s="337" t="s">
        <v>15</v>
      </c>
      <c r="AG36" s="154" t="s">
        <v>15</v>
      </c>
      <c r="AH36" s="157" t="s">
        <v>15</v>
      </c>
      <c r="AI36" s="6" t="s">
        <v>15</v>
      </c>
      <c r="AJ36" s="154" t="s">
        <v>15</v>
      </c>
      <c r="AK36" s="153" t="s">
        <v>15</v>
      </c>
      <c r="AL36" s="154" t="s">
        <v>15</v>
      </c>
      <c r="AM36" s="154" t="s">
        <v>15</v>
      </c>
      <c r="AN36" s="153" t="s">
        <v>15</v>
      </c>
      <c r="AO36" s="154" t="s">
        <v>15</v>
      </c>
      <c r="AP36" s="154" t="s">
        <v>15</v>
      </c>
      <c r="AQ36" s="153" t="s">
        <v>15</v>
      </c>
      <c r="AR36" s="92"/>
    </row>
    <row r="37" spans="1:50" ht="14.95" customHeight="1" thickBot="1" x14ac:dyDescent="0.3">
      <c r="A37" s="311" t="s">
        <v>613</v>
      </c>
      <c r="B37" s="144">
        <v>2</v>
      </c>
      <c r="C37" s="421">
        <v>2</v>
      </c>
      <c r="D37" s="422">
        <v>0</v>
      </c>
      <c r="E37" s="75">
        <f t="shared" si="0"/>
        <v>4</v>
      </c>
      <c r="F37" s="300" t="s">
        <v>613</v>
      </c>
      <c r="G37" s="135">
        <v>10</v>
      </c>
      <c r="H37" s="327">
        <v>10</v>
      </c>
      <c r="I37" s="214">
        <v>0</v>
      </c>
      <c r="J37" s="136">
        <f t="shared" si="1"/>
        <v>20</v>
      </c>
      <c r="K37" s="417" t="s">
        <v>1048</v>
      </c>
      <c r="L37" s="423">
        <v>2</v>
      </c>
      <c r="M37" s="423">
        <v>3</v>
      </c>
      <c r="N37" s="424">
        <f t="shared" si="15"/>
        <v>66.666666666666657</v>
      </c>
      <c r="O37" s="154" t="s">
        <v>15</v>
      </c>
      <c r="P37" s="154" t="s">
        <v>15</v>
      </c>
      <c r="Q37" s="153" t="s">
        <v>15</v>
      </c>
      <c r="R37" s="154" t="s">
        <v>15</v>
      </c>
      <c r="S37" s="154" t="s">
        <v>15</v>
      </c>
      <c r="T37" s="153" t="s">
        <v>15</v>
      </c>
      <c r="U37" s="154" t="s">
        <v>15</v>
      </c>
      <c r="V37" s="154" t="s">
        <v>15</v>
      </c>
      <c r="W37" s="153" t="s">
        <v>15</v>
      </c>
      <c r="AC37" s="154" t="s">
        <v>15</v>
      </c>
      <c r="AD37" s="154" t="s">
        <v>15</v>
      </c>
      <c r="AE37" s="153" t="s">
        <v>15</v>
      </c>
      <c r="AF37" s="154" t="s">
        <v>15</v>
      </c>
      <c r="AG37" s="154" t="s">
        <v>15</v>
      </c>
      <c r="AH37" s="153" t="s">
        <v>15</v>
      </c>
      <c r="AI37" s="154" t="s">
        <v>15</v>
      </c>
      <c r="AJ37" s="154" t="s">
        <v>15</v>
      </c>
      <c r="AK37" s="153" t="s">
        <v>15</v>
      </c>
      <c r="AL37" s="154" t="s">
        <v>15</v>
      </c>
      <c r="AM37" s="154" t="s">
        <v>15</v>
      </c>
      <c r="AN37" s="153" t="s">
        <v>15</v>
      </c>
      <c r="AO37" s="154" t="s">
        <v>15</v>
      </c>
      <c r="AP37" s="154" t="s">
        <v>15</v>
      </c>
      <c r="AQ37" s="153" t="s">
        <v>15</v>
      </c>
      <c r="AR37" s="92"/>
    </row>
    <row r="38" spans="1:50" ht="14.95" customHeight="1" thickBot="1" x14ac:dyDescent="0.3">
      <c r="A38" s="311" t="s">
        <v>1095</v>
      </c>
      <c r="B38" s="144">
        <v>2</v>
      </c>
      <c r="C38" s="421">
        <v>0</v>
      </c>
      <c r="D38" s="422">
        <v>0</v>
      </c>
      <c r="E38" s="75">
        <f t="shared" si="0"/>
        <v>2</v>
      </c>
      <c r="F38" s="300" t="s">
        <v>1095</v>
      </c>
      <c r="G38" s="135">
        <v>10</v>
      </c>
      <c r="H38" s="327">
        <v>0</v>
      </c>
      <c r="I38" s="214">
        <v>0</v>
      </c>
      <c r="J38" s="136">
        <f t="shared" si="1"/>
        <v>10</v>
      </c>
      <c r="K38" s="417" t="s">
        <v>5</v>
      </c>
      <c r="L38" s="427" t="s">
        <v>15</v>
      </c>
      <c r="M38" s="427" t="s">
        <v>15</v>
      </c>
      <c r="N38" s="428" t="s">
        <v>15</v>
      </c>
      <c r="O38" s="154" t="s">
        <v>15</v>
      </c>
      <c r="P38" s="154" t="s">
        <v>15</v>
      </c>
      <c r="Q38" s="153" t="s">
        <v>15</v>
      </c>
      <c r="R38" s="154">
        <v>2</v>
      </c>
      <c r="S38" s="154">
        <v>3</v>
      </c>
      <c r="T38" s="153">
        <v>67</v>
      </c>
      <c r="U38" s="154">
        <v>9</v>
      </c>
      <c r="V38" s="154">
        <v>12</v>
      </c>
      <c r="W38" s="153">
        <v>75</v>
      </c>
      <c r="AC38" s="337" t="s">
        <v>15</v>
      </c>
      <c r="AD38" s="154" t="s">
        <v>15</v>
      </c>
      <c r="AE38" s="153" t="s">
        <v>15</v>
      </c>
      <c r="AF38" s="337" t="s">
        <v>15</v>
      </c>
      <c r="AG38" s="154" t="s">
        <v>15</v>
      </c>
      <c r="AH38" s="153" t="s">
        <v>15</v>
      </c>
      <c r="AI38" s="6" t="s">
        <v>15</v>
      </c>
      <c r="AJ38" s="154" t="s">
        <v>15</v>
      </c>
      <c r="AK38" s="153" t="s">
        <v>15</v>
      </c>
      <c r="AL38" s="6" t="s">
        <v>15</v>
      </c>
      <c r="AM38" s="154" t="s">
        <v>15</v>
      </c>
      <c r="AN38" s="153" t="s">
        <v>15</v>
      </c>
      <c r="AO38" s="154" t="s">
        <v>15</v>
      </c>
      <c r="AP38" s="154" t="s">
        <v>15</v>
      </c>
      <c r="AQ38" s="153" t="s">
        <v>15</v>
      </c>
      <c r="AR38" s="92"/>
      <c r="AX38" s="4"/>
    </row>
    <row r="39" spans="1:50" ht="14.95" customHeight="1" thickBot="1" x14ac:dyDescent="0.3">
      <c r="A39" s="311" t="s">
        <v>547</v>
      </c>
      <c r="B39" s="144">
        <v>7</v>
      </c>
      <c r="C39" s="421">
        <v>2</v>
      </c>
      <c r="D39" s="422">
        <v>2</v>
      </c>
      <c r="E39" s="75">
        <f t="shared" si="0"/>
        <v>11</v>
      </c>
      <c r="F39" s="300" t="s">
        <v>547</v>
      </c>
      <c r="G39" s="135">
        <v>35</v>
      </c>
      <c r="H39" s="327">
        <v>10</v>
      </c>
      <c r="I39" s="214">
        <v>10</v>
      </c>
      <c r="J39" s="136">
        <f t="shared" si="1"/>
        <v>55</v>
      </c>
      <c r="K39" s="417" t="s">
        <v>440</v>
      </c>
      <c r="L39" s="427">
        <v>5</v>
      </c>
      <c r="M39" s="427">
        <v>5</v>
      </c>
      <c r="N39" s="428">
        <f t="shared" ref="N39" si="16">(L39/M39)*100</f>
        <v>100</v>
      </c>
      <c r="O39" s="6">
        <v>9</v>
      </c>
      <c r="P39" s="6">
        <v>14</v>
      </c>
      <c r="Q39" s="157">
        <v>64.285714285714292</v>
      </c>
      <c r="R39" s="6">
        <v>8</v>
      </c>
      <c r="S39" s="6">
        <v>9</v>
      </c>
      <c r="T39" s="157">
        <v>89</v>
      </c>
      <c r="U39" s="6">
        <v>0</v>
      </c>
      <c r="V39" s="6">
        <v>3</v>
      </c>
      <c r="W39" s="157">
        <v>0</v>
      </c>
      <c r="AC39" s="6" t="s">
        <v>15</v>
      </c>
      <c r="AD39" s="6" t="s">
        <v>15</v>
      </c>
      <c r="AE39" s="157" t="s">
        <v>15</v>
      </c>
      <c r="AF39" s="6" t="s">
        <v>15</v>
      </c>
      <c r="AG39" s="6" t="s">
        <v>15</v>
      </c>
      <c r="AH39" s="157" t="s">
        <v>15</v>
      </c>
      <c r="AI39" s="6" t="s">
        <v>15</v>
      </c>
      <c r="AJ39" s="6" t="s">
        <v>15</v>
      </c>
      <c r="AK39" s="153" t="s">
        <v>15</v>
      </c>
      <c r="AL39" s="6" t="s">
        <v>15</v>
      </c>
      <c r="AM39" s="6" t="s">
        <v>15</v>
      </c>
      <c r="AN39" s="153" t="s">
        <v>15</v>
      </c>
      <c r="AO39" s="6" t="s">
        <v>15</v>
      </c>
      <c r="AP39" s="6" t="s">
        <v>15</v>
      </c>
      <c r="AQ39" s="153" t="s">
        <v>15</v>
      </c>
      <c r="AX39" s="4"/>
    </row>
    <row r="40" spans="1:50" ht="14.95" customHeight="1" thickBot="1" x14ac:dyDescent="0.3">
      <c r="A40" s="311" t="s">
        <v>497</v>
      </c>
      <c r="B40" s="144">
        <v>1</v>
      </c>
      <c r="C40" s="421">
        <v>0</v>
      </c>
      <c r="D40" s="422">
        <v>1</v>
      </c>
      <c r="E40" s="75">
        <f t="shared" si="0"/>
        <v>2</v>
      </c>
      <c r="F40" s="300" t="s">
        <v>497</v>
      </c>
      <c r="G40" s="135">
        <v>5</v>
      </c>
      <c r="H40" s="327">
        <v>0</v>
      </c>
      <c r="I40" s="214">
        <v>5</v>
      </c>
      <c r="J40" s="136">
        <f t="shared" si="1"/>
        <v>10</v>
      </c>
      <c r="K40" s="496" t="s">
        <v>1030</v>
      </c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24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</row>
    <row r="41" spans="1:50" ht="14.95" customHeight="1" thickBot="1" x14ac:dyDescent="0.3">
      <c r="A41" s="311" t="s">
        <v>640</v>
      </c>
      <c r="B41" s="144">
        <v>0</v>
      </c>
      <c r="C41" s="421">
        <v>0</v>
      </c>
      <c r="D41" s="422">
        <v>1</v>
      </c>
      <c r="E41" s="75">
        <f t="shared" si="0"/>
        <v>1</v>
      </c>
      <c r="F41" s="300" t="s">
        <v>640</v>
      </c>
      <c r="G41" s="135">
        <v>0</v>
      </c>
      <c r="H41" s="327">
        <v>0</v>
      </c>
      <c r="I41" s="214">
        <v>5</v>
      </c>
      <c r="J41" s="136">
        <f t="shared" si="1"/>
        <v>5</v>
      </c>
      <c r="K41" s="32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</row>
    <row r="42" spans="1:50" ht="14.95" customHeight="1" thickBot="1" x14ac:dyDescent="0.3">
      <c r="A42" s="311" t="s">
        <v>4</v>
      </c>
      <c r="B42" s="144">
        <v>0</v>
      </c>
      <c r="C42" s="421">
        <v>0</v>
      </c>
      <c r="D42" s="422">
        <v>0</v>
      </c>
      <c r="E42" s="75">
        <f t="shared" si="0"/>
        <v>0</v>
      </c>
      <c r="F42" s="300" t="s">
        <v>4</v>
      </c>
      <c r="G42" s="135">
        <v>0</v>
      </c>
      <c r="H42" s="327">
        <v>0</v>
      </c>
      <c r="I42" s="214">
        <v>0</v>
      </c>
      <c r="J42" s="136">
        <f t="shared" si="1"/>
        <v>0</v>
      </c>
      <c r="X42" s="94"/>
      <c r="Y42" s="94"/>
      <c r="Z42" s="94"/>
      <c r="AR42" s="62"/>
      <c r="AS42" s="62"/>
      <c r="AT42" s="62"/>
    </row>
    <row r="43" spans="1:50" ht="14.95" thickBot="1" x14ac:dyDescent="0.3">
      <c r="A43" s="311" t="s">
        <v>603</v>
      </c>
      <c r="B43" s="144">
        <v>0</v>
      </c>
      <c r="C43" s="421">
        <v>0</v>
      </c>
      <c r="D43" s="422">
        <v>0</v>
      </c>
      <c r="E43" s="75">
        <f t="shared" si="0"/>
        <v>0</v>
      </c>
      <c r="F43" s="300" t="s">
        <v>603</v>
      </c>
      <c r="G43" s="135">
        <v>0</v>
      </c>
      <c r="H43" s="327">
        <v>0</v>
      </c>
      <c r="I43" s="214">
        <v>0</v>
      </c>
      <c r="J43" s="136">
        <f t="shared" si="1"/>
        <v>0</v>
      </c>
      <c r="X43" s="94"/>
      <c r="Y43" s="94"/>
      <c r="Z43" s="94"/>
      <c r="AM43" s="4"/>
      <c r="AN43" s="4"/>
    </row>
    <row r="44" spans="1:50" ht="14.95" thickBot="1" x14ac:dyDescent="0.3">
      <c r="A44" s="311" t="s">
        <v>951</v>
      </c>
      <c r="B44" s="144">
        <v>0</v>
      </c>
      <c r="C44" s="421">
        <v>0</v>
      </c>
      <c r="D44" s="422">
        <v>0</v>
      </c>
      <c r="E44" s="75">
        <f t="shared" si="0"/>
        <v>0</v>
      </c>
      <c r="F44" s="300" t="s">
        <v>951</v>
      </c>
      <c r="G44" s="135">
        <v>0</v>
      </c>
      <c r="H44" s="327">
        <v>0</v>
      </c>
      <c r="I44" s="214">
        <v>0</v>
      </c>
      <c r="J44" s="136">
        <f t="shared" si="1"/>
        <v>0</v>
      </c>
      <c r="Z44" s="94"/>
    </row>
    <row r="45" spans="1:50" ht="14.95" customHeight="1" thickBot="1" x14ac:dyDescent="0.3">
      <c r="A45" s="311" t="s">
        <v>94</v>
      </c>
      <c r="B45" s="144">
        <v>0</v>
      </c>
      <c r="C45" s="421">
        <v>0</v>
      </c>
      <c r="D45" s="422">
        <v>0</v>
      </c>
      <c r="E45" s="75">
        <f t="shared" si="0"/>
        <v>0</v>
      </c>
      <c r="F45" s="300" t="s">
        <v>94</v>
      </c>
      <c r="G45" s="135">
        <v>0</v>
      </c>
      <c r="H45" s="327">
        <v>0</v>
      </c>
      <c r="I45" s="214">
        <v>0</v>
      </c>
      <c r="J45" s="136">
        <f t="shared" si="1"/>
        <v>0</v>
      </c>
      <c r="Z45" s="94"/>
    </row>
    <row r="46" spans="1:50" ht="14.95" thickBot="1" x14ac:dyDescent="0.3">
      <c r="A46" s="311" t="s">
        <v>617</v>
      </c>
      <c r="B46" s="144">
        <v>7</v>
      </c>
      <c r="C46" s="421">
        <v>3</v>
      </c>
      <c r="D46" s="422">
        <v>0</v>
      </c>
      <c r="E46" s="75">
        <f t="shared" si="0"/>
        <v>10</v>
      </c>
      <c r="F46" s="300" t="s">
        <v>617</v>
      </c>
      <c r="G46" s="135">
        <v>35</v>
      </c>
      <c r="H46" s="327">
        <v>15</v>
      </c>
      <c r="I46" s="214">
        <v>0</v>
      </c>
      <c r="J46" s="136">
        <f t="shared" si="1"/>
        <v>50</v>
      </c>
      <c r="Z46" s="94"/>
    </row>
    <row r="47" spans="1:50" ht="14.95" thickBot="1" x14ac:dyDescent="0.3">
      <c r="A47" s="311" t="s">
        <v>953</v>
      </c>
      <c r="B47" s="144">
        <v>4</v>
      </c>
      <c r="C47" s="421">
        <v>1</v>
      </c>
      <c r="D47" s="422">
        <v>1</v>
      </c>
      <c r="E47" s="75">
        <f t="shared" si="0"/>
        <v>6</v>
      </c>
      <c r="F47" s="300" t="s">
        <v>953</v>
      </c>
      <c r="G47" s="135">
        <v>20</v>
      </c>
      <c r="H47" s="327">
        <v>5</v>
      </c>
      <c r="I47" s="214">
        <v>5</v>
      </c>
      <c r="J47" s="136">
        <f t="shared" si="1"/>
        <v>30</v>
      </c>
    </row>
    <row r="48" spans="1:50" ht="14.95" thickBot="1" x14ac:dyDescent="0.3">
      <c r="A48" s="311" t="s">
        <v>493</v>
      </c>
      <c r="B48" s="144">
        <v>0</v>
      </c>
      <c r="C48" s="421">
        <v>1</v>
      </c>
      <c r="D48" s="422">
        <v>0</v>
      </c>
      <c r="E48" s="75">
        <f t="shared" si="0"/>
        <v>1</v>
      </c>
      <c r="F48" s="300" t="s">
        <v>493</v>
      </c>
      <c r="G48" s="135">
        <v>0</v>
      </c>
      <c r="H48" s="327">
        <v>5</v>
      </c>
      <c r="I48" s="214">
        <v>0</v>
      </c>
      <c r="J48" s="136">
        <f t="shared" si="1"/>
        <v>5</v>
      </c>
    </row>
    <row r="49" spans="1:50" ht="14.95" thickBot="1" x14ac:dyDescent="0.3">
      <c r="A49" s="311" t="s">
        <v>224</v>
      </c>
      <c r="B49" s="144">
        <v>0</v>
      </c>
      <c r="C49" s="421">
        <v>0</v>
      </c>
      <c r="D49" s="422">
        <v>0</v>
      </c>
      <c r="E49" s="75">
        <f t="shared" si="0"/>
        <v>0</v>
      </c>
      <c r="F49" s="300" t="s">
        <v>224</v>
      </c>
      <c r="G49" s="135">
        <v>0</v>
      </c>
      <c r="H49" s="327">
        <v>0</v>
      </c>
      <c r="I49" s="214">
        <v>0</v>
      </c>
      <c r="J49" s="136">
        <f t="shared" si="1"/>
        <v>0</v>
      </c>
    </row>
    <row r="50" spans="1:50" ht="14.95" thickBot="1" x14ac:dyDescent="0.3">
      <c r="A50" s="311" t="s">
        <v>53</v>
      </c>
      <c r="B50" s="144">
        <v>0</v>
      </c>
      <c r="C50" s="421">
        <v>0</v>
      </c>
      <c r="D50" s="422">
        <v>0</v>
      </c>
      <c r="E50" s="75">
        <f t="shared" si="0"/>
        <v>0</v>
      </c>
      <c r="F50" s="300" t="s">
        <v>53</v>
      </c>
      <c r="G50" s="135">
        <v>0</v>
      </c>
      <c r="H50" s="327">
        <v>0</v>
      </c>
      <c r="I50" s="214">
        <v>0</v>
      </c>
      <c r="J50" s="136">
        <f t="shared" si="1"/>
        <v>0</v>
      </c>
      <c r="AI50" s="4"/>
    </row>
    <row r="51" spans="1:50" ht="14.95" customHeight="1" thickBot="1" x14ac:dyDescent="0.3">
      <c r="A51" s="311" t="s">
        <v>95</v>
      </c>
      <c r="B51" s="144">
        <v>0</v>
      </c>
      <c r="C51" s="421">
        <v>0</v>
      </c>
      <c r="D51" s="422">
        <v>0</v>
      </c>
      <c r="E51" s="75">
        <f t="shared" si="0"/>
        <v>0</v>
      </c>
      <c r="F51" s="300" t="s">
        <v>95</v>
      </c>
      <c r="G51" s="135">
        <v>0</v>
      </c>
      <c r="H51" s="327">
        <v>0</v>
      </c>
      <c r="I51" s="214">
        <v>0</v>
      </c>
      <c r="J51" s="136">
        <f t="shared" si="1"/>
        <v>0</v>
      </c>
      <c r="AX51" s="303"/>
    </row>
    <row r="52" spans="1:50" ht="14.95" customHeight="1" thickBot="1" x14ac:dyDescent="0.3">
      <c r="A52" s="311" t="s">
        <v>639</v>
      </c>
      <c r="B52" s="144">
        <v>0</v>
      </c>
      <c r="C52" s="421">
        <v>0</v>
      </c>
      <c r="D52" s="422">
        <v>0</v>
      </c>
      <c r="E52" s="75">
        <f t="shared" si="0"/>
        <v>0</v>
      </c>
      <c r="F52" s="300" t="s">
        <v>639</v>
      </c>
      <c r="G52" s="135">
        <v>0</v>
      </c>
      <c r="H52" s="327">
        <v>0</v>
      </c>
      <c r="I52" s="214">
        <v>0</v>
      </c>
      <c r="J52" s="136">
        <f t="shared" si="1"/>
        <v>0</v>
      </c>
    </row>
    <row r="53" spans="1:50" ht="14.95" thickBot="1" x14ac:dyDescent="0.3">
      <c r="A53" s="311" t="s">
        <v>1048</v>
      </c>
      <c r="B53" s="144">
        <v>0</v>
      </c>
      <c r="C53" s="421">
        <v>0</v>
      </c>
      <c r="D53" s="422">
        <v>0</v>
      </c>
      <c r="E53" s="75">
        <f t="shared" si="0"/>
        <v>0</v>
      </c>
      <c r="F53" s="300" t="s">
        <v>1048</v>
      </c>
      <c r="G53" s="135">
        <v>0</v>
      </c>
      <c r="H53" s="327">
        <v>0</v>
      </c>
      <c r="I53" s="214">
        <v>4</v>
      </c>
      <c r="J53" s="136">
        <f t="shared" si="1"/>
        <v>4</v>
      </c>
    </row>
    <row r="54" spans="1:50" ht="14.95" customHeight="1" thickBot="1" x14ac:dyDescent="0.3">
      <c r="A54" s="311" t="s">
        <v>5</v>
      </c>
      <c r="B54" s="144">
        <v>0</v>
      </c>
      <c r="C54" s="421">
        <v>0</v>
      </c>
      <c r="D54" s="422">
        <v>0</v>
      </c>
      <c r="E54" s="75">
        <f t="shared" si="0"/>
        <v>0</v>
      </c>
      <c r="F54" s="300" t="s">
        <v>5</v>
      </c>
      <c r="G54" s="135">
        <v>6</v>
      </c>
      <c r="H54" s="327">
        <v>0</v>
      </c>
      <c r="I54" s="214">
        <v>0</v>
      </c>
      <c r="J54" s="136">
        <f t="shared" si="1"/>
        <v>6</v>
      </c>
      <c r="AF54" s="4"/>
      <c r="AG54" s="4"/>
      <c r="AH54" s="4"/>
    </row>
    <row r="55" spans="1:50" ht="14.95" customHeight="1" thickBot="1" x14ac:dyDescent="0.3">
      <c r="A55" s="311" t="s">
        <v>619</v>
      </c>
      <c r="B55" s="144">
        <v>0</v>
      </c>
      <c r="C55" s="421">
        <v>0</v>
      </c>
      <c r="D55" s="422">
        <v>0</v>
      </c>
      <c r="E55" s="75">
        <f t="shared" si="0"/>
        <v>0</v>
      </c>
      <c r="F55" s="300" t="s">
        <v>619</v>
      </c>
      <c r="G55" s="135">
        <v>0</v>
      </c>
      <c r="H55" s="327">
        <v>0</v>
      </c>
      <c r="I55" s="214">
        <v>0</v>
      </c>
      <c r="J55" s="136">
        <f t="shared" si="1"/>
        <v>0</v>
      </c>
    </row>
    <row r="56" spans="1:50" ht="14.95" thickBot="1" x14ac:dyDescent="0.3">
      <c r="A56" s="311" t="s">
        <v>39</v>
      </c>
      <c r="B56" s="144">
        <v>0</v>
      </c>
      <c r="C56" s="421">
        <v>0</v>
      </c>
      <c r="D56" s="422">
        <v>0</v>
      </c>
      <c r="E56" s="75">
        <f t="shared" si="0"/>
        <v>0</v>
      </c>
      <c r="F56" s="300" t="s">
        <v>39</v>
      </c>
      <c r="G56" s="135">
        <v>0</v>
      </c>
      <c r="H56" s="327">
        <v>0</v>
      </c>
      <c r="I56" s="214">
        <v>0</v>
      </c>
      <c r="J56" s="136">
        <f t="shared" si="1"/>
        <v>0</v>
      </c>
    </row>
    <row r="57" spans="1:50" ht="14.95" thickBot="1" x14ac:dyDescent="0.3">
      <c r="A57" s="311" t="s">
        <v>440</v>
      </c>
      <c r="B57" s="144">
        <v>1</v>
      </c>
      <c r="C57" s="421">
        <v>0</v>
      </c>
      <c r="D57" s="422">
        <v>0</v>
      </c>
      <c r="E57" s="75">
        <f t="shared" si="0"/>
        <v>1</v>
      </c>
      <c r="F57" s="300" t="s">
        <v>440</v>
      </c>
      <c r="G57" s="135">
        <v>47</v>
      </c>
      <c r="H57" s="327">
        <v>7</v>
      </c>
      <c r="I57" s="214">
        <v>11</v>
      </c>
      <c r="J57" s="136">
        <f t="shared" si="1"/>
        <v>65</v>
      </c>
    </row>
    <row r="58" spans="1:50" ht="14.95" thickBot="1" x14ac:dyDescent="0.3">
      <c r="A58" s="311" t="s">
        <v>3</v>
      </c>
      <c r="B58" s="144">
        <f>SUM(B3:B57)</f>
        <v>40</v>
      </c>
      <c r="C58" s="421">
        <f>SUM(C3:C57)</f>
        <v>23</v>
      </c>
      <c r="D58" s="422">
        <f>SUM(D3:D57)</f>
        <v>13</v>
      </c>
      <c r="E58" s="75">
        <f>SUM(E3:E57)</f>
        <v>76</v>
      </c>
      <c r="F58" s="300" t="s">
        <v>3</v>
      </c>
      <c r="G58" s="135">
        <f>SUM(G3:G57)</f>
        <v>282</v>
      </c>
      <c r="H58" s="327">
        <f>SUM(H3:H57)</f>
        <v>154</v>
      </c>
      <c r="I58" s="214">
        <f>SUM(I3:I57)</f>
        <v>91</v>
      </c>
      <c r="J58" s="136">
        <f>SUM(J3:J57)</f>
        <v>527</v>
      </c>
    </row>
    <row r="59" spans="1:50" x14ac:dyDescent="0.25">
      <c r="A59" s="477"/>
      <c r="B59" s="478"/>
      <c r="C59" s="478"/>
      <c r="D59" s="478"/>
      <c r="E59" s="478"/>
      <c r="F59" s="478"/>
      <c r="G59" s="478"/>
      <c r="H59" s="478"/>
      <c r="I59" s="34"/>
      <c r="J59" s="34"/>
    </row>
    <row r="60" spans="1:50" ht="14.95" thickBot="1" x14ac:dyDescent="0.3">
      <c r="A60" t="s">
        <v>12</v>
      </c>
      <c r="B60" s="132"/>
      <c r="F60" s="33"/>
      <c r="G60" s="133"/>
      <c r="H60" s="36"/>
      <c r="I60" s="36"/>
      <c r="J60" s="36"/>
    </row>
    <row r="61" spans="1:50" ht="14.95" thickBot="1" x14ac:dyDescent="0.3">
      <c r="A61" s="417" t="s">
        <v>0</v>
      </c>
      <c r="B61" s="418" t="s">
        <v>226</v>
      </c>
      <c r="C61" s="419" t="s">
        <v>30</v>
      </c>
      <c r="D61" s="420" t="s">
        <v>339</v>
      </c>
      <c r="E61" s="108" t="s">
        <v>1</v>
      </c>
      <c r="F61" s="299" t="s">
        <v>2</v>
      </c>
      <c r="G61" s="137" t="s">
        <v>226</v>
      </c>
      <c r="H61" s="326" t="s">
        <v>30</v>
      </c>
      <c r="I61" s="213" t="s">
        <v>339</v>
      </c>
      <c r="J61" s="138" t="s">
        <v>1</v>
      </c>
    </row>
    <row r="62" spans="1:50" ht="14.95" thickBot="1" x14ac:dyDescent="0.3">
      <c r="A62" s="311" t="s">
        <v>547</v>
      </c>
      <c r="B62" s="144">
        <v>7</v>
      </c>
      <c r="C62" s="421">
        <v>2</v>
      </c>
      <c r="D62" s="422">
        <v>2</v>
      </c>
      <c r="E62" s="75">
        <f t="shared" ref="E62:E93" si="17">SUM(B62:D62)</f>
        <v>11</v>
      </c>
      <c r="F62" s="300" t="s">
        <v>374</v>
      </c>
      <c r="G62" s="135">
        <v>36</v>
      </c>
      <c r="H62" s="327">
        <v>32</v>
      </c>
      <c r="I62" s="214">
        <v>0</v>
      </c>
      <c r="J62" s="136">
        <f t="shared" ref="J62:J93" si="18">SUM(G62:I62)</f>
        <v>68</v>
      </c>
    </row>
    <row r="63" spans="1:50" ht="14.95" thickBot="1" x14ac:dyDescent="0.3">
      <c r="A63" s="311" t="s">
        <v>617</v>
      </c>
      <c r="B63" s="144">
        <v>7</v>
      </c>
      <c r="C63" s="421">
        <v>3</v>
      </c>
      <c r="D63" s="422">
        <v>0</v>
      </c>
      <c r="E63" s="75">
        <f t="shared" si="17"/>
        <v>10</v>
      </c>
      <c r="F63" s="300" t="s">
        <v>440</v>
      </c>
      <c r="G63" s="135">
        <v>47</v>
      </c>
      <c r="H63" s="327">
        <v>7</v>
      </c>
      <c r="I63" s="214">
        <v>11</v>
      </c>
      <c r="J63" s="136">
        <f t="shared" si="18"/>
        <v>65</v>
      </c>
    </row>
    <row r="64" spans="1:50" ht="14.95" thickBot="1" x14ac:dyDescent="0.3">
      <c r="A64" s="311" t="s">
        <v>496</v>
      </c>
      <c r="B64" s="144">
        <v>5</v>
      </c>
      <c r="C64" s="421">
        <v>2</v>
      </c>
      <c r="D64" s="422">
        <v>0</v>
      </c>
      <c r="E64" s="75">
        <f t="shared" si="17"/>
        <v>7</v>
      </c>
      <c r="F64" s="300" t="s">
        <v>547</v>
      </c>
      <c r="G64" s="135">
        <v>35</v>
      </c>
      <c r="H64" s="327">
        <v>10</v>
      </c>
      <c r="I64" s="214">
        <v>10</v>
      </c>
      <c r="J64" s="136">
        <f t="shared" si="18"/>
        <v>55</v>
      </c>
    </row>
    <row r="65" spans="1:10" ht="14.95" thickBot="1" x14ac:dyDescent="0.3">
      <c r="A65" s="311" t="s">
        <v>953</v>
      </c>
      <c r="B65" s="144">
        <v>4</v>
      </c>
      <c r="C65" s="421">
        <v>1</v>
      </c>
      <c r="D65" s="422">
        <v>1</v>
      </c>
      <c r="E65" s="75">
        <f t="shared" si="17"/>
        <v>6</v>
      </c>
      <c r="F65" s="300" t="s">
        <v>617</v>
      </c>
      <c r="G65" s="135">
        <v>35</v>
      </c>
      <c r="H65" s="327">
        <v>15</v>
      </c>
      <c r="I65" s="214">
        <v>0</v>
      </c>
      <c r="J65" s="136">
        <f t="shared" si="18"/>
        <v>50</v>
      </c>
    </row>
    <row r="66" spans="1:10" ht="14.95" thickBot="1" x14ac:dyDescent="0.3">
      <c r="A66" s="311" t="s">
        <v>628</v>
      </c>
      <c r="B66" s="144">
        <v>1</v>
      </c>
      <c r="C66" s="421">
        <v>1</v>
      </c>
      <c r="D66" s="422">
        <v>2</v>
      </c>
      <c r="E66" s="75">
        <f t="shared" si="17"/>
        <v>4</v>
      </c>
      <c r="F66" s="300" t="s">
        <v>496</v>
      </c>
      <c r="G66" s="135">
        <v>25</v>
      </c>
      <c r="H66" s="327">
        <v>10</v>
      </c>
      <c r="I66" s="214">
        <v>0</v>
      </c>
      <c r="J66" s="136">
        <f t="shared" si="18"/>
        <v>35</v>
      </c>
    </row>
    <row r="67" spans="1:10" ht="14.95" thickBot="1" x14ac:dyDescent="0.3">
      <c r="A67" s="311" t="s">
        <v>197</v>
      </c>
      <c r="B67" s="144">
        <v>1</v>
      </c>
      <c r="C67" s="421">
        <v>3</v>
      </c>
      <c r="D67" s="422">
        <v>0</v>
      </c>
      <c r="E67" s="75">
        <f t="shared" si="17"/>
        <v>4</v>
      </c>
      <c r="F67" s="300" t="s">
        <v>953</v>
      </c>
      <c r="G67" s="135">
        <v>20</v>
      </c>
      <c r="H67" s="327">
        <v>5</v>
      </c>
      <c r="I67" s="214">
        <v>5</v>
      </c>
      <c r="J67" s="136">
        <f t="shared" si="18"/>
        <v>30</v>
      </c>
    </row>
    <row r="68" spans="1:10" ht="14.95" thickBot="1" x14ac:dyDescent="0.3">
      <c r="A68" s="311" t="s">
        <v>613</v>
      </c>
      <c r="B68" s="144">
        <v>2</v>
      </c>
      <c r="C68" s="421">
        <v>2</v>
      </c>
      <c r="D68" s="422">
        <v>0</v>
      </c>
      <c r="E68" s="75">
        <f t="shared" si="17"/>
        <v>4</v>
      </c>
      <c r="F68" s="300" t="s">
        <v>628</v>
      </c>
      <c r="G68" s="135">
        <v>5</v>
      </c>
      <c r="H68" s="327">
        <v>5</v>
      </c>
      <c r="I68" s="214">
        <v>10</v>
      </c>
      <c r="J68" s="136">
        <f t="shared" si="18"/>
        <v>20</v>
      </c>
    </row>
    <row r="69" spans="1:10" ht="14.95" thickBot="1" x14ac:dyDescent="0.3">
      <c r="A69" s="311" t="s">
        <v>574</v>
      </c>
      <c r="B69" s="144">
        <v>0</v>
      </c>
      <c r="C69" s="421">
        <v>3</v>
      </c>
      <c r="D69" s="422">
        <v>0</v>
      </c>
      <c r="E69" s="75">
        <f t="shared" si="17"/>
        <v>3</v>
      </c>
      <c r="F69" s="300" t="s">
        <v>197</v>
      </c>
      <c r="G69" s="135">
        <v>5</v>
      </c>
      <c r="H69" s="327">
        <v>15</v>
      </c>
      <c r="I69" s="214">
        <v>0</v>
      </c>
      <c r="J69" s="136">
        <f t="shared" si="18"/>
        <v>20</v>
      </c>
    </row>
    <row r="70" spans="1:10" ht="14.95" thickBot="1" x14ac:dyDescent="0.3">
      <c r="A70" s="311" t="s">
        <v>294</v>
      </c>
      <c r="B70" s="144">
        <v>1</v>
      </c>
      <c r="C70" s="421">
        <v>1</v>
      </c>
      <c r="D70" s="422">
        <v>0</v>
      </c>
      <c r="E70" s="75">
        <f t="shared" si="17"/>
        <v>2</v>
      </c>
      <c r="F70" s="300" t="s">
        <v>613</v>
      </c>
      <c r="G70" s="135">
        <v>10</v>
      </c>
      <c r="H70" s="327">
        <v>10</v>
      </c>
      <c r="I70" s="214">
        <v>0</v>
      </c>
      <c r="J70" s="136">
        <f t="shared" si="18"/>
        <v>20</v>
      </c>
    </row>
    <row r="71" spans="1:10" ht="14.95" thickBot="1" x14ac:dyDescent="0.3">
      <c r="A71" s="311" t="s">
        <v>934</v>
      </c>
      <c r="B71" s="144">
        <v>1</v>
      </c>
      <c r="C71" s="421">
        <v>0</v>
      </c>
      <c r="D71" s="422">
        <v>1</v>
      </c>
      <c r="E71" s="75">
        <f t="shared" si="17"/>
        <v>2</v>
      </c>
      <c r="F71" s="300" t="s">
        <v>574</v>
      </c>
      <c r="G71" s="135">
        <v>0</v>
      </c>
      <c r="H71" s="327">
        <v>15</v>
      </c>
      <c r="I71" s="214">
        <v>0</v>
      </c>
      <c r="J71" s="136">
        <f t="shared" si="18"/>
        <v>15</v>
      </c>
    </row>
    <row r="72" spans="1:10" ht="14.95" thickBot="1" x14ac:dyDescent="0.3">
      <c r="A72" s="311" t="s">
        <v>52</v>
      </c>
      <c r="B72" s="144">
        <v>1</v>
      </c>
      <c r="C72" s="421">
        <v>1</v>
      </c>
      <c r="D72" s="422">
        <v>0</v>
      </c>
      <c r="E72" s="75">
        <f t="shared" si="17"/>
        <v>2</v>
      </c>
      <c r="F72" s="300" t="s">
        <v>51</v>
      </c>
      <c r="G72" s="135">
        <v>3</v>
      </c>
      <c r="H72" s="327">
        <v>0</v>
      </c>
      <c r="I72" s="214">
        <v>11</v>
      </c>
      <c r="J72" s="136">
        <f t="shared" si="18"/>
        <v>14</v>
      </c>
    </row>
    <row r="73" spans="1:10" ht="14.95" thickBot="1" x14ac:dyDescent="0.3">
      <c r="A73" s="311" t="s">
        <v>624</v>
      </c>
      <c r="B73" s="144">
        <v>1</v>
      </c>
      <c r="C73" s="421">
        <v>1</v>
      </c>
      <c r="D73" s="422">
        <v>0</v>
      </c>
      <c r="E73" s="75">
        <f t="shared" si="17"/>
        <v>2</v>
      </c>
      <c r="F73" s="300" t="s">
        <v>294</v>
      </c>
      <c r="G73" s="135">
        <v>5</v>
      </c>
      <c r="H73" s="327">
        <v>5</v>
      </c>
      <c r="I73" s="214">
        <v>0</v>
      </c>
      <c r="J73" s="136">
        <f t="shared" si="18"/>
        <v>10</v>
      </c>
    </row>
    <row r="74" spans="1:10" ht="14.95" thickBot="1" x14ac:dyDescent="0.3">
      <c r="A74" s="311" t="s">
        <v>644</v>
      </c>
      <c r="B74" s="144">
        <v>0</v>
      </c>
      <c r="C74" s="421">
        <v>0</v>
      </c>
      <c r="D74" s="422">
        <v>2</v>
      </c>
      <c r="E74" s="75">
        <f t="shared" si="17"/>
        <v>2</v>
      </c>
      <c r="F74" s="300" t="s">
        <v>934</v>
      </c>
      <c r="G74" s="135">
        <v>5</v>
      </c>
      <c r="H74" s="327">
        <v>0</v>
      </c>
      <c r="I74" s="214">
        <v>5</v>
      </c>
      <c r="J74" s="136">
        <f t="shared" si="18"/>
        <v>10</v>
      </c>
    </row>
    <row r="75" spans="1:10" ht="14.95" thickBot="1" x14ac:dyDescent="0.3">
      <c r="A75" s="311" t="s">
        <v>297</v>
      </c>
      <c r="B75" s="144">
        <v>2</v>
      </c>
      <c r="C75" s="421">
        <v>0</v>
      </c>
      <c r="D75" s="422">
        <v>0</v>
      </c>
      <c r="E75" s="75">
        <f t="shared" si="17"/>
        <v>2</v>
      </c>
      <c r="F75" s="300" t="s">
        <v>52</v>
      </c>
      <c r="G75" s="135">
        <v>5</v>
      </c>
      <c r="H75" s="327">
        <v>5</v>
      </c>
      <c r="I75" s="214">
        <v>0</v>
      </c>
      <c r="J75" s="136">
        <f t="shared" si="18"/>
        <v>10</v>
      </c>
    </row>
    <row r="76" spans="1:10" ht="14.95" thickBot="1" x14ac:dyDescent="0.3">
      <c r="A76" s="311" t="s">
        <v>1095</v>
      </c>
      <c r="B76" s="144">
        <v>2</v>
      </c>
      <c r="C76" s="421">
        <v>0</v>
      </c>
      <c r="D76" s="422">
        <v>0</v>
      </c>
      <c r="E76" s="75">
        <f t="shared" si="17"/>
        <v>2</v>
      </c>
      <c r="F76" s="300" t="s">
        <v>624</v>
      </c>
      <c r="G76" s="135">
        <v>5</v>
      </c>
      <c r="H76" s="327">
        <v>5</v>
      </c>
      <c r="I76" s="214">
        <v>0</v>
      </c>
      <c r="J76" s="136">
        <f t="shared" si="18"/>
        <v>10</v>
      </c>
    </row>
    <row r="77" spans="1:10" ht="14.95" thickBot="1" x14ac:dyDescent="0.3">
      <c r="A77" s="311" t="s">
        <v>497</v>
      </c>
      <c r="B77" s="144">
        <v>1</v>
      </c>
      <c r="C77" s="421">
        <v>0</v>
      </c>
      <c r="D77" s="422">
        <v>1</v>
      </c>
      <c r="E77" s="75">
        <f t="shared" si="17"/>
        <v>2</v>
      </c>
      <c r="F77" s="300" t="s">
        <v>644</v>
      </c>
      <c r="G77" s="135">
        <v>0</v>
      </c>
      <c r="H77" s="327">
        <v>0</v>
      </c>
      <c r="I77" s="214">
        <v>10</v>
      </c>
      <c r="J77" s="136">
        <f t="shared" si="18"/>
        <v>10</v>
      </c>
    </row>
    <row r="78" spans="1:10" ht="14.95" thickBot="1" x14ac:dyDescent="0.3">
      <c r="A78" s="311" t="s">
        <v>1047</v>
      </c>
      <c r="B78" s="144">
        <v>0</v>
      </c>
      <c r="C78" s="421">
        <v>0</v>
      </c>
      <c r="D78" s="422">
        <v>1</v>
      </c>
      <c r="E78" s="75">
        <f t="shared" si="17"/>
        <v>1</v>
      </c>
      <c r="F78" s="300" t="s">
        <v>297</v>
      </c>
      <c r="G78" s="135">
        <v>10</v>
      </c>
      <c r="H78" s="327">
        <v>0</v>
      </c>
      <c r="I78" s="214">
        <v>0</v>
      </c>
      <c r="J78" s="136">
        <f t="shared" si="18"/>
        <v>10</v>
      </c>
    </row>
    <row r="79" spans="1:10" ht="14.95" thickBot="1" x14ac:dyDescent="0.3">
      <c r="A79" s="311" t="s">
        <v>621</v>
      </c>
      <c r="B79" s="144">
        <v>0</v>
      </c>
      <c r="C79" s="421">
        <v>0</v>
      </c>
      <c r="D79" s="422">
        <v>1</v>
      </c>
      <c r="E79" s="75">
        <f t="shared" si="17"/>
        <v>1</v>
      </c>
      <c r="F79" s="300" t="s">
        <v>1095</v>
      </c>
      <c r="G79" s="135">
        <v>10</v>
      </c>
      <c r="H79" s="327">
        <v>0</v>
      </c>
      <c r="I79" s="214">
        <v>0</v>
      </c>
      <c r="J79" s="136">
        <f t="shared" si="18"/>
        <v>10</v>
      </c>
    </row>
    <row r="80" spans="1:10" ht="14.95" thickBot="1" x14ac:dyDescent="0.3">
      <c r="A80" s="311" t="s">
        <v>623</v>
      </c>
      <c r="B80" s="144">
        <v>0</v>
      </c>
      <c r="C80" s="421">
        <v>1</v>
      </c>
      <c r="D80" s="422">
        <v>0</v>
      </c>
      <c r="E80" s="75">
        <f t="shared" si="17"/>
        <v>1</v>
      </c>
      <c r="F80" s="300" t="s">
        <v>497</v>
      </c>
      <c r="G80" s="135">
        <v>5</v>
      </c>
      <c r="H80" s="327">
        <v>0</v>
      </c>
      <c r="I80" s="214">
        <v>5</v>
      </c>
      <c r="J80" s="136">
        <f t="shared" si="18"/>
        <v>10</v>
      </c>
    </row>
    <row r="81" spans="1:10" ht="14.95" thickBot="1" x14ac:dyDescent="0.3">
      <c r="A81" s="311" t="s">
        <v>469</v>
      </c>
      <c r="B81" s="144">
        <v>1</v>
      </c>
      <c r="C81" s="421">
        <v>0</v>
      </c>
      <c r="D81" s="422">
        <v>0</v>
      </c>
      <c r="E81" s="75">
        <f t="shared" si="17"/>
        <v>1</v>
      </c>
      <c r="F81" s="300" t="s">
        <v>5</v>
      </c>
      <c r="G81" s="135">
        <v>6</v>
      </c>
      <c r="H81" s="327">
        <v>0</v>
      </c>
      <c r="I81" s="214">
        <v>0</v>
      </c>
      <c r="J81" s="136">
        <f t="shared" si="18"/>
        <v>6</v>
      </c>
    </row>
    <row r="82" spans="1:10" ht="14.95" thickBot="1" x14ac:dyDescent="0.3">
      <c r="A82" s="311" t="s">
        <v>952</v>
      </c>
      <c r="B82" s="144">
        <v>1</v>
      </c>
      <c r="C82" s="421">
        <v>0</v>
      </c>
      <c r="D82" s="422">
        <v>0</v>
      </c>
      <c r="E82" s="75">
        <f t="shared" si="17"/>
        <v>1</v>
      </c>
      <c r="F82" s="300" t="s">
        <v>1047</v>
      </c>
      <c r="G82" s="135">
        <v>0</v>
      </c>
      <c r="H82" s="327">
        <v>0</v>
      </c>
      <c r="I82" s="214">
        <v>5</v>
      </c>
      <c r="J82" s="136">
        <f t="shared" si="18"/>
        <v>5</v>
      </c>
    </row>
    <row r="83" spans="1:10" ht="14.95" thickBot="1" x14ac:dyDescent="0.3">
      <c r="A83" s="311" t="s">
        <v>475</v>
      </c>
      <c r="B83" s="144">
        <v>0</v>
      </c>
      <c r="C83" s="421">
        <v>0</v>
      </c>
      <c r="D83" s="422">
        <v>1</v>
      </c>
      <c r="E83" s="75">
        <f t="shared" si="17"/>
        <v>1</v>
      </c>
      <c r="F83" s="300" t="s">
        <v>621</v>
      </c>
      <c r="G83" s="135">
        <v>0</v>
      </c>
      <c r="H83" s="327">
        <v>0</v>
      </c>
      <c r="I83" s="214">
        <v>5</v>
      </c>
      <c r="J83" s="136">
        <f t="shared" si="18"/>
        <v>5</v>
      </c>
    </row>
    <row r="84" spans="1:10" ht="14.95" thickBot="1" x14ac:dyDescent="0.3">
      <c r="A84" s="311" t="s">
        <v>374</v>
      </c>
      <c r="B84" s="144">
        <v>1</v>
      </c>
      <c r="C84" s="421">
        <v>0</v>
      </c>
      <c r="D84" s="422">
        <v>0</v>
      </c>
      <c r="E84" s="75">
        <f t="shared" si="17"/>
        <v>1</v>
      </c>
      <c r="F84" s="300" t="s">
        <v>623</v>
      </c>
      <c r="G84" s="135">
        <v>0</v>
      </c>
      <c r="H84" s="327">
        <v>5</v>
      </c>
      <c r="I84" s="214">
        <v>0</v>
      </c>
      <c r="J84" s="136">
        <f t="shared" si="18"/>
        <v>5</v>
      </c>
    </row>
    <row r="85" spans="1:10" ht="14.95" thickBot="1" x14ac:dyDescent="0.3">
      <c r="A85" s="311" t="s">
        <v>235</v>
      </c>
      <c r="B85" s="144">
        <v>0</v>
      </c>
      <c r="C85" s="421">
        <v>1</v>
      </c>
      <c r="D85" s="422">
        <v>0</v>
      </c>
      <c r="E85" s="75">
        <f t="shared" si="17"/>
        <v>1</v>
      </c>
      <c r="F85" s="300" t="s">
        <v>469</v>
      </c>
      <c r="G85" s="135">
        <v>5</v>
      </c>
      <c r="H85" s="327">
        <v>0</v>
      </c>
      <c r="I85" s="214">
        <v>0</v>
      </c>
      <c r="J85" s="136">
        <f t="shared" si="18"/>
        <v>5</v>
      </c>
    </row>
    <row r="86" spans="1:10" ht="14.95" thickBot="1" x14ac:dyDescent="0.3">
      <c r="A86" s="311" t="s">
        <v>640</v>
      </c>
      <c r="B86" s="144">
        <v>0</v>
      </c>
      <c r="C86" s="421">
        <v>0</v>
      </c>
      <c r="D86" s="422">
        <v>1</v>
      </c>
      <c r="E86" s="75">
        <f t="shared" si="17"/>
        <v>1</v>
      </c>
      <c r="F86" s="300" t="s">
        <v>952</v>
      </c>
      <c r="G86" s="135">
        <v>5</v>
      </c>
      <c r="H86" s="327">
        <v>0</v>
      </c>
      <c r="I86" s="214">
        <v>0</v>
      </c>
      <c r="J86" s="136">
        <f t="shared" si="18"/>
        <v>5</v>
      </c>
    </row>
    <row r="87" spans="1:10" ht="14.95" thickBot="1" x14ac:dyDescent="0.3">
      <c r="A87" s="311" t="s">
        <v>493</v>
      </c>
      <c r="B87" s="144">
        <v>0</v>
      </c>
      <c r="C87" s="421">
        <v>1</v>
      </c>
      <c r="D87" s="422">
        <v>0</v>
      </c>
      <c r="E87" s="75">
        <f t="shared" si="17"/>
        <v>1</v>
      </c>
      <c r="F87" s="300" t="s">
        <v>475</v>
      </c>
      <c r="G87" s="135">
        <v>0</v>
      </c>
      <c r="H87" s="327">
        <v>0</v>
      </c>
      <c r="I87" s="214">
        <v>5</v>
      </c>
      <c r="J87" s="136">
        <f t="shared" si="18"/>
        <v>5</v>
      </c>
    </row>
    <row r="88" spans="1:10" ht="14.95" thickBot="1" x14ac:dyDescent="0.3">
      <c r="A88" s="311" t="s">
        <v>440</v>
      </c>
      <c r="B88" s="144">
        <v>1</v>
      </c>
      <c r="C88" s="421">
        <v>0</v>
      </c>
      <c r="D88" s="422">
        <v>0</v>
      </c>
      <c r="E88" s="75">
        <f t="shared" si="17"/>
        <v>1</v>
      </c>
      <c r="F88" s="300" t="s">
        <v>235</v>
      </c>
      <c r="G88" s="135">
        <v>0</v>
      </c>
      <c r="H88" s="327">
        <v>5</v>
      </c>
      <c r="I88" s="215">
        <v>0</v>
      </c>
      <c r="J88" s="139">
        <f t="shared" si="18"/>
        <v>5</v>
      </c>
    </row>
    <row r="89" spans="1:10" ht="14.95" thickBot="1" x14ac:dyDescent="0.3">
      <c r="A89" s="311" t="s">
        <v>642</v>
      </c>
      <c r="B89" s="144">
        <v>0</v>
      </c>
      <c r="C89" s="421">
        <v>0</v>
      </c>
      <c r="D89" s="422">
        <v>0</v>
      </c>
      <c r="E89" s="75">
        <f t="shared" si="17"/>
        <v>0</v>
      </c>
      <c r="F89" s="300" t="s">
        <v>640</v>
      </c>
      <c r="G89" s="135">
        <v>0</v>
      </c>
      <c r="H89" s="327">
        <v>0</v>
      </c>
      <c r="I89" s="215">
        <v>5</v>
      </c>
      <c r="J89" s="139">
        <f t="shared" si="18"/>
        <v>5</v>
      </c>
    </row>
    <row r="90" spans="1:10" ht="14.95" thickBot="1" x14ac:dyDescent="0.3">
      <c r="A90" s="311" t="s">
        <v>611</v>
      </c>
      <c r="B90" s="144">
        <v>0</v>
      </c>
      <c r="C90" s="421">
        <v>0</v>
      </c>
      <c r="D90" s="422">
        <v>0</v>
      </c>
      <c r="E90" s="75">
        <f t="shared" si="17"/>
        <v>0</v>
      </c>
      <c r="F90" s="300" t="s">
        <v>493</v>
      </c>
      <c r="G90" s="135">
        <v>0</v>
      </c>
      <c r="H90" s="327">
        <v>5</v>
      </c>
      <c r="I90" s="215">
        <v>0</v>
      </c>
      <c r="J90" s="139">
        <f t="shared" si="18"/>
        <v>5</v>
      </c>
    </row>
    <row r="91" spans="1:10" ht="14.95" thickBot="1" x14ac:dyDescent="0.3">
      <c r="A91" s="311" t="s">
        <v>189</v>
      </c>
      <c r="B91" s="144">
        <v>0</v>
      </c>
      <c r="C91" s="421">
        <v>0</v>
      </c>
      <c r="D91" s="422">
        <v>0</v>
      </c>
      <c r="E91" s="75">
        <f t="shared" si="17"/>
        <v>0</v>
      </c>
      <c r="F91" s="300" t="s">
        <v>1048</v>
      </c>
      <c r="G91" s="135">
        <v>0</v>
      </c>
      <c r="H91" s="327">
        <v>0</v>
      </c>
      <c r="I91" s="215">
        <v>4</v>
      </c>
      <c r="J91" s="139">
        <f t="shared" si="18"/>
        <v>4</v>
      </c>
    </row>
    <row r="92" spans="1:10" ht="14.95" thickBot="1" x14ac:dyDescent="0.3">
      <c r="A92" s="311" t="s">
        <v>191</v>
      </c>
      <c r="B92" s="144">
        <v>0</v>
      </c>
      <c r="C92" s="421">
        <v>0</v>
      </c>
      <c r="D92" s="422">
        <v>0</v>
      </c>
      <c r="E92" s="75">
        <f t="shared" si="17"/>
        <v>0</v>
      </c>
      <c r="F92" s="300" t="s">
        <v>642</v>
      </c>
      <c r="G92" s="135">
        <v>0</v>
      </c>
      <c r="H92" s="327">
        <v>0</v>
      </c>
      <c r="I92" s="215">
        <v>0</v>
      </c>
      <c r="J92" s="139">
        <f t="shared" si="18"/>
        <v>0</v>
      </c>
    </row>
    <row r="93" spans="1:10" ht="14.95" thickBot="1" x14ac:dyDescent="0.3">
      <c r="A93" s="311" t="s">
        <v>608</v>
      </c>
      <c r="B93" s="144">
        <v>0</v>
      </c>
      <c r="C93" s="421">
        <v>0</v>
      </c>
      <c r="D93" s="422">
        <v>0</v>
      </c>
      <c r="E93" s="75">
        <f t="shared" si="17"/>
        <v>0</v>
      </c>
      <c r="F93" s="300" t="s">
        <v>611</v>
      </c>
      <c r="G93" s="135">
        <v>0</v>
      </c>
      <c r="H93" s="327">
        <v>0</v>
      </c>
      <c r="I93" s="215">
        <v>0</v>
      </c>
      <c r="J93" s="139">
        <f t="shared" si="18"/>
        <v>0</v>
      </c>
    </row>
    <row r="94" spans="1:10" ht="14.95" thickBot="1" x14ac:dyDescent="0.3">
      <c r="A94" s="311" t="s">
        <v>615</v>
      </c>
      <c r="B94" s="144">
        <v>0</v>
      </c>
      <c r="C94" s="421">
        <v>0</v>
      </c>
      <c r="D94" s="422">
        <v>0</v>
      </c>
      <c r="E94" s="75">
        <f t="shared" ref="E94:E125" si="19">SUM(B94:D94)</f>
        <v>0</v>
      </c>
      <c r="F94" s="300" t="s">
        <v>189</v>
      </c>
      <c r="G94" s="135">
        <v>0</v>
      </c>
      <c r="H94" s="327">
        <v>0</v>
      </c>
      <c r="I94" s="215">
        <v>0</v>
      </c>
      <c r="J94" s="139">
        <f t="shared" ref="J94:J125" si="20">SUM(G94:I94)</f>
        <v>0</v>
      </c>
    </row>
    <row r="95" spans="1:10" ht="14.95" thickBot="1" x14ac:dyDescent="0.3">
      <c r="A95" s="311" t="s">
        <v>551</v>
      </c>
      <c r="B95" s="144">
        <v>0</v>
      </c>
      <c r="C95" s="421">
        <v>0</v>
      </c>
      <c r="D95" s="422">
        <v>0</v>
      </c>
      <c r="E95" s="75">
        <f t="shared" si="19"/>
        <v>0</v>
      </c>
      <c r="F95" s="300" t="s">
        <v>191</v>
      </c>
      <c r="G95" s="135">
        <v>0</v>
      </c>
      <c r="H95" s="327">
        <v>0</v>
      </c>
      <c r="I95" s="215">
        <v>0</v>
      </c>
      <c r="J95" s="139">
        <f t="shared" si="20"/>
        <v>0</v>
      </c>
    </row>
    <row r="96" spans="1:10" ht="14.95" thickBot="1" x14ac:dyDescent="0.3">
      <c r="A96" s="311" t="s">
        <v>811</v>
      </c>
      <c r="B96" s="144">
        <v>0</v>
      </c>
      <c r="C96" s="421">
        <v>0</v>
      </c>
      <c r="D96" s="422">
        <v>0</v>
      </c>
      <c r="E96" s="75">
        <f t="shared" si="19"/>
        <v>0</v>
      </c>
      <c r="F96" s="300" t="s">
        <v>608</v>
      </c>
      <c r="G96" s="135">
        <v>0</v>
      </c>
      <c r="H96" s="327">
        <v>0</v>
      </c>
      <c r="I96" s="214">
        <v>0</v>
      </c>
      <c r="J96" s="136">
        <f t="shared" si="20"/>
        <v>0</v>
      </c>
    </row>
    <row r="97" spans="1:10" ht="14.95" thickBot="1" x14ac:dyDescent="0.3">
      <c r="A97" s="311" t="s">
        <v>636</v>
      </c>
      <c r="B97" s="144">
        <v>0</v>
      </c>
      <c r="C97" s="421">
        <v>0</v>
      </c>
      <c r="D97" s="422">
        <v>0</v>
      </c>
      <c r="E97" s="75">
        <f t="shared" si="19"/>
        <v>0</v>
      </c>
      <c r="F97" s="300" t="s">
        <v>615</v>
      </c>
      <c r="G97" s="135">
        <v>0</v>
      </c>
      <c r="H97" s="327">
        <v>0</v>
      </c>
      <c r="I97" s="214">
        <v>0</v>
      </c>
      <c r="J97" s="136">
        <f t="shared" si="20"/>
        <v>0</v>
      </c>
    </row>
    <row r="98" spans="1:10" ht="14.95" thickBot="1" x14ac:dyDescent="0.3">
      <c r="A98" s="311" t="s">
        <v>630</v>
      </c>
      <c r="B98" s="144">
        <v>0</v>
      </c>
      <c r="C98" s="421">
        <v>0</v>
      </c>
      <c r="D98" s="422">
        <v>0</v>
      </c>
      <c r="E98" s="75">
        <f t="shared" si="19"/>
        <v>0</v>
      </c>
      <c r="F98" s="300" t="s">
        <v>551</v>
      </c>
      <c r="G98" s="135">
        <v>0</v>
      </c>
      <c r="H98" s="327">
        <v>0</v>
      </c>
      <c r="I98" s="214">
        <v>0</v>
      </c>
      <c r="J98" s="136">
        <f t="shared" si="20"/>
        <v>0</v>
      </c>
    </row>
    <row r="99" spans="1:10" ht="14.95" thickBot="1" x14ac:dyDescent="0.3">
      <c r="A99" s="311" t="s">
        <v>633</v>
      </c>
      <c r="B99" s="144">
        <v>0</v>
      </c>
      <c r="C99" s="421">
        <v>0</v>
      </c>
      <c r="D99" s="422">
        <v>0</v>
      </c>
      <c r="E99" s="75">
        <f t="shared" si="19"/>
        <v>0</v>
      </c>
      <c r="F99" s="300" t="s">
        <v>811</v>
      </c>
      <c r="G99" s="135">
        <v>0</v>
      </c>
      <c r="H99" s="327">
        <v>0</v>
      </c>
      <c r="I99" s="214">
        <v>0</v>
      </c>
      <c r="J99" s="136">
        <f t="shared" si="20"/>
        <v>0</v>
      </c>
    </row>
    <row r="100" spans="1:10" ht="14.95" thickBot="1" x14ac:dyDescent="0.3">
      <c r="A100" s="311" t="s">
        <v>275</v>
      </c>
      <c r="B100" s="144">
        <v>0</v>
      </c>
      <c r="C100" s="421">
        <v>0</v>
      </c>
      <c r="D100" s="422">
        <v>0</v>
      </c>
      <c r="E100" s="75">
        <f t="shared" si="19"/>
        <v>0</v>
      </c>
      <c r="F100" s="300" t="s">
        <v>636</v>
      </c>
      <c r="G100" s="135">
        <v>0</v>
      </c>
      <c r="H100" s="327">
        <v>0</v>
      </c>
      <c r="I100" s="214">
        <v>0</v>
      </c>
      <c r="J100" s="136">
        <f t="shared" si="20"/>
        <v>0</v>
      </c>
    </row>
    <row r="101" spans="1:10" ht="14.95" thickBot="1" x14ac:dyDescent="0.3">
      <c r="A101" s="311" t="s">
        <v>390</v>
      </c>
      <c r="B101" s="144">
        <v>0</v>
      </c>
      <c r="C101" s="421">
        <v>0</v>
      </c>
      <c r="D101" s="422">
        <v>0</v>
      </c>
      <c r="E101" s="75">
        <f t="shared" si="19"/>
        <v>0</v>
      </c>
      <c r="F101" s="300" t="s">
        <v>630</v>
      </c>
      <c r="G101" s="135">
        <v>0</v>
      </c>
      <c r="H101" s="327">
        <v>0</v>
      </c>
      <c r="I101" s="214">
        <v>0</v>
      </c>
      <c r="J101" s="136">
        <f t="shared" si="20"/>
        <v>0</v>
      </c>
    </row>
    <row r="102" spans="1:10" ht="14.95" thickBot="1" x14ac:dyDescent="0.3">
      <c r="A102" s="311" t="s">
        <v>833</v>
      </c>
      <c r="B102" s="144">
        <v>0</v>
      </c>
      <c r="C102" s="421">
        <v>0</v>
      </c>
      <c r="D102" s="422">
        <v>0</v>
      </c>
      <c r="E102" s="75">
        <f t="shared" si="19"/>
        <v>0</v>
      </c>
      <c r="F102" s="300" t="s">
        <v>633</v>
      </c>
      <c r="G102" s="135">
        <v>0</v>
      </c>
      <c r="H102" s="327">
        <v>0</v>
      </c>
      <c r="I102" s="214">
        <v>0</v>
      </c>
      <c r="J102" s="136">
        <f t="shared" si="20"/>
        <v>0</v>
      </c>
    </row>
    <row r="103" spans="1:10" ht="14.95" thickBot="1" x14ac:dyDescent="0.3">
      <c r="A103" s="311" t="s">
        <v>93</v>
      </c>
      <c r="B103" s="144">
        <v>0</v>
      </c>
      <c r="C103" s="421">
        <v>0</v>
      </c>
      <c r="D103" s="422">
        <v>0</v>
      </c>
      <c r="E103" s="75">
        <f t="shared" si="19"/>
        <v>0</v>
      </c>
      <c r="F103" s="300" t="s">
        <v>275</v>
      </c>
      <c r="G103" s="135">
        <v>0</v>
      </c>
      <c r="H103" s="327">
        <v>0</v>
      </c>
      <c r="I103" s="214">
        <v>0</v>
      </c>
      <c r="J103" s="136">
        <f t="shared" si="20"/>
        <v>0</v>
      </c>
    </row>
    <row r="104" spans="1:10" ht="14.95" thickBot="1" x14ac:dyDescent="0.3">
      <c r="A104" s="311" t="s">
        <v>51</v>
      </c>
      <c r="B104" s="144">
        <v>0</v>
      </c>
      <c r="C104" s="421">
        <v>0</v>
      </c>
      <c r="D104" s="422">
        <v>0</v>
      </c>
      <c r="E104" s="75">
        <f t="shared" si="19"/>
        <v>0</v>
      </c>
      <c r="F104" s="300" t="s">
        <v>390</v>
      </c>
      <c r="G104" s="135">
        <v>0</v>
      </c>
      <c r="H104" s="327">
        <v>0</v>
      </c>
      <c r="I104" s="214">
        <v>0</v>
      </c>
      <c r="J104" s="136">
        <f t="shared" si="20"/>
        <v>0</v>
      </c>
    </row>
    <row r="105" spans="1:10" ht="14.95" thickBot="1" x14ac:dyDescent="0.3">
      <c r="A105" s="311" t="s">
        <v>4</v>
      </c>
      <c r="B105" s="144">
        <v>0</v>
      </c>
      <c r="C105" s="421">
        <v>0</v>
      </c>
      <c r="D105" s="422">
        <v>0</v>
      </c>
      <c r="E105" s="75">
        <f t="shared" si="19"/>
        <v>0</v>
      </c>
      <c r="F105" s="300" t="s">
        <v>833</v>
      </c>
      <c r="G105" s="135">
        <v>0</v>
      </c>
      <c r="H105" s="327">
        <v>0</v>
      </c>
      <c r="I105" s="214">
        <v>0</v>
      </c>
      <c r="J105" s="136">
        <f t="shared" si="20"/>
        <v>0</v>
      </c>
    </row>
    <row r="106" spans="1:10" ht="14.95" thickBot="1" x14ac:dyDescent="0.3">
      <c r="A106" s="311" t="s">
        <v>603</v>
      </c>
      <c r="B106" s="144">
        <v>0</v>
      </c>
      <c r="C106" s="421">
        <v>0</v>
      </c>
      <c r="D106" s="422">
        <v>0</v>
      </c>
      <c r="E106" s="75">
        <f t="shared" si="19"/>
        <v>0</v>
      </c>
      <c r="F106" s="300" t="s">
        <v>93</v>
      </c>
      <c r="G106" s="135">
        <v>0</v>
      </c>
      <c r="H106" s="327">
        <v>0</v>
      </c>
      <c r="I106" s="214">
        <v>0</v>
      </c>
      <c r="J106" s="136">
        <f t="shared" si="20"/>
        <v>0</v>
      </c>
    </row>
    <row r="107" spans="1:10" ht="14.95" thickBot="1" x14ac:dyDescent="0.3">
      <c r="A107" s="311" t="s">
        <v>951</v>
      </c>
      <c r="B107" s="144">
        <v>0</v>
      </c>
      <c r="C107" s="421">
        <v>0</v>
      </c>
      <c r="D107" s="422">
        <v>0</v>
      </c>
      <c r="E107" s="75">
        <f t="shared" si="19"/>
        <v>0</v>
      </c>
      <c r="F107" s="300" t="s">
        <v>4</v>
      </c>
      <c r="G107" s="135">
        <v>0</v>
      </c>
      <c r="H107" s="327">
        <v>0</v>
      </c>
      <c r="I107" s="214">
        <v>0</v>
      </c>
      <c r="J107" s="136">
        <f t="shared" si="20"/>
        <v>0</v>
      </c>
    </row>
    <row r="108" spans="1:10" ht="14.95" thickBot="1" x14ac:dyDescent="0.3">
      <c r="A108" s="311" t="s">
        <v>94</v>
      </c>
      <c r="B108" s="144">
        <v>0</v>
      </c>
      <c r="C108" s="421">
        <v>0</v>
      </c>
      <c r="D108" s="422">
        <v>0</v>
      </c>
      <c r="E108" s="75">
        <f t="shared" si="19"/>
        <v>0</v>
      </c>
      <c r="F108" s="300" t="s">
        <v>603</v>
      </c>
      <c r="G108" s="135">
        <v>0</v>
      </c>
      <c r="H108" s="327">
        <v>0</v>
      </c>
      <c r="I108" s="214">
        <v>0</v>
      </c>
      <c r="J108" s="136">
        <f t="shared" si="20"/>
        <v>0</v>
      </c>
    </row>
    <row r="109" spans="1:10" ht="14.95" thickBot="1" x14ac:dyDescent="0.3">
      <c r="A109" s="311" t="s">
        <v>224</v>
      </c>
      <c r="B109" s="144">
        <v>0</v>
      </c>
      <c r="C109" s="421">
        <v>0</v>
      </c>
      <c r="D109" s="422">
        <v>0</v>
      </c>
      <c r="E109" s="75">
        <f t="shared" si="19"/>
        <v>0</v>
      </c>
      <c r="F109" s="300" t="s">
        <v>951</v>
      </c>
      <c r="G109" s="135">
        <v>0</v>
      </c>
      <c r="H109" s="327">
        <v>0</v>
      </c>
      <c r="I109" s="214">
        <v>0</v>
      </c>
      <c r="J109" s="136">
        <f t="shared" si="20"/>
        <v>0</v>
      </c>
    </row>
    <row r="110" spans="1:10" ht="14.95" thickBot="1" x14ac:dyDescent="0.3">
      <c r="A110" s="311" t="s">
        <v>53</v>
      </c>
      <c r="B110" s="144">
        <v>0</v>
      </c>
      <c r="C110" s="421">
        <v>0</v>
      </c>
      <c r="D110" s="422">
        <v>0</v>
      </c>
      <c r="E110" s="75">
        <f t="shared" si="19"/>
        <v>0</v>
      </c>
      <c r="F110" s="300" t="s">
        <v>94</v>
      </c>
      <c r="G110" s="135">
        <v>0</v>
      </c>
      <c r="H110" s="327">
        <v>0</v>
      </c>
      <c r="I110" s="214">
        <v>0</v>
      </c>
      <c r="J110" s="136">
        <f t="shared" si="20"/>
        <v>0</v>
      </c>
    </row>
    <row r="111" spans="1:10" ht="14.95" thickBot="1" x14ac:dyDescent="0.3">
      <c r="A111" s="311" t="s">
        <v>95</v>
      </c>
      <c r="B111" s="144">
        <v>0</v>
      </c>
      <c r="C111" s="421">
        <v>0</v>
      </c>
      <c r="D111" s="422">
        <v>0</v>
      </c>
      <c r="E111" s="75">
        <f t="shared" si="19"/>
        <v>0</v>
      </c>
      <c r="F111" s="300" t="s">
        <v>224</v>
      </c>
      <c r="G111" s="135">
        <v>0</v>
      </c>
      <c r="H111" s="327">
        <v>0</v>
      </c>
      <c r="I111" s="214">
        <v>0</v>
      </c>
      <c r="J111" s="136">
        <f t="shared" si="20"/>
        <v>0</v>
      </c>
    </row>
    <row r="112" spans="1:10" ht="14.95" thickBot="1" x14ac:dyDescent="0.3">
      <c r="A112" s="311" t="s">
        <v>639</v>
      </c>
      <c r="B112" s="144">
        <v>0</v>
      </c>
      <c r="C112" s="421">
        <v>0</v>
      </c>
      <c r="D112" s="422">
        <v>0</v>
      </c>
      <c r="E112" s="75">
        <f t="shared" si="19"/>
        <v>0</v>
      </c>
      <c r="F112" s="300" t="s">
        <v>53</v>
      </c>
      <c r="G112" s="135">
        <v>0</v>
      </c>
      <c r="H112" s="327">
        <v>0</v>
      </c>
      <c r="I112" s="214">
        <v>0</v>
      </c>
      <c r="J112" s="136">
        <f t="shared" si="20"/>
        <v>0</v>
      </c>
    </row>
    <row r="113" spans="1:10" ht="14.95" thickBot="1" x14ac:dyDescent="0.3">
      <c r="A113" s="311" t="s">
        <v>1048</v>
      </c>
      <c r="B113" s="144">
        <v>0</v>
      </c>
      <c r="C113" s="421">
        <v>0</v>
      </c>
      <c r="D113" s="422">
        <v>0</v>
      </c>
      <c r="E113" s="75">
        <f t="shared" si="19"/>
        <v>0</v>
      </c>
      <c r="F113" s="300" t="s">
        <v>95</v>
      </c>
      <c r="G113" s="135">
        <v>0</v>
      </c>
      <c r="H113" s="327">
        <v>0</v>
      </c>
      <c r="I113" s="214">
        <v>0</v>
      </c>
      <c r="J113" s="136">
        <f t="shared" si="20"/>
        <v>0</v>
      </c>
    </row>
    <row r="114" spans="1:10" ht="14.95" thickBot="1" x14ac:dyDescent="0.3">
      <c r="A114" s="311" t="s">
        <v>5</v>
      </c>
      <c r="B114" s="144">
        <v>0</v>
      </c>
      <c r="C114" s="421">
        <v>0</v>
      </c>
      <c r="D114" s="422">
        <v>0</v>
      </c>
      <c r="E114" s="75">
        <f t="shared" si="19"/>
        <v>0</v>
      </c>
      <c r="F114" s="300" t="s">
        <v>639</v>
      </c>
      <c r="G114" s="135">
        <v>0</v>
      </c>
      <c r="H114" s="327">
        <v>0</v>
      </c>
      <c r="I114" s="214">
        <v>0</v>
      </c>
      <c r="J114" s="136">
        <f t="shared" si="20"/>
        <v>0</v>
      </c>
    </row>
    <row r="115" spans="1:10" ht="14.95" thickBot="1" x14ac:dyDescent="0.3">
      <c r="A115" s="311" t="s">
        <v>619</v>
      </c>
      <c r="B115" s="144">
        <v>0</v>
      </c>
      <c r="C115" s="421">
        <v>0</v>
      </c>
      <c r="D115" s="422">
        <v>0</v>
      </c>
      <c r="E115" s="75">
        <f t="shared" si="19"/>
        <v>0</v>
      </c>
      <c r="F115" s="300" t="s">
        <v>619</v>
      </c>
      <c r="G115" s="135">
        <v>0</v>
      </c>
      <c r="H115" s="327">
        <v>0</v>
      </c>
      <c r="I115" s="214">
        <v>0</v>
      </c>
      <c r="J115" s="136">
        <f t="shared" si="20"/>
        <v>0</v>
      </c>
    </row>
    <row r="116" spans="1:10" ht="14.95" thickBot="1" x14ac:dyDescent="0.3">
      <c r="A116" s="311" t="s">
        <v>39</v>
      </c>
      <c r="B116" s="144">
        <v>0</v>
      </c>
      <c r="C116" s="421">
        <v>0</v>
      </c>
      <c r="D116" s="422">
        <v>0</v>
      </c>
      <c r="E116" s="75">
        <f t="shared" si="19"/>
        <v>0</v>
      </c>
      <c r="F116" s="300" t="s">
        <v>39</v>
      </c>
      <c r="G116" s="135">
        <v>0</v>
      </c>
      <c r="H116" s="327">
        <v>0</v>
      </c>
      <c r="I116" s="214">
        <v>0</v>
      </c>
      <c r="J116" s="136">
        <f t="shared" si="20"/>
        <v>0</v>
      </c>
    </row>
    <row r="117" spans="1:10" ht="14.95" thickBot="1" x14ac:dyDescent="0.3">
      <c r="A117" s="311" t="s">
        <v>3</v>
      </c>
      <c r="B117" s="144">
        <f>SUM(B62:B116)</f>
        <v>40</v>
      </c>
      <c r="C117" s="421">
        <f>SUM(C62:C116)</f>
        <v>23</v>
      </c>
      <c r="D117" s="422">
        <f>SUM(D62:D116)</f>
        <v>13</v>
      </c>
      <c r="E117" s="75">
        <f>SUM(E62:E116)</f>
        <v>76</v>
      </c>
      <c r="F117" s="300" t="s">
        <v>3</v>
      </c>
      <c r="G117" s="135">
        <f>SUM(G62:G116)</f>
        <v>282</v>
      </c>
      <c r="H117" s="327">
        <f>SUM(H62:H116)</f>
        <v>154</v>
      </c>
      <c r="I117" s="214">
        <f>SUM(I62:I116)</f>
        <v>91</v>
      </c>
      <c r="J117" s="136">
        <f>SUM(J62:J116)</f>
        <v>527</v>
      </c>
    </row>
    <row r="118" spans="1:10" x14ac:dyDescent="0.25">
      <c r="A118" s="455" t="s">
        <v>34</v>
      </c>
      <c r="B118" s="456"/>
      <c r="C118" s="456"/>
    </row>
  </sheetData>
  <sortState xmlns:xlrd2="http://schemas.microsoft.com/office/spreadsheetml/2017/richdata2" ref="F62:J116">
    <sortCondition descending="1" ref="J62:J116"/>
  </sortState>
  <mergeCells count="55">
    <mergeCell ref="AC14:AE15"/>
    <mergeCell ref="AC23:AE24"/>
    <mergeCell ref="AC30:AE31"/>
    <mergeCell ref="BA1:BC2"/>
    <mergeCell ref="AU14:AW15"/>
    <mergeCell ref="AR14:AT15"/>
    <mergeCell ref="AU1:AW2"/>
    <mergeCell ref="AU23:AW24"/>
    <mergeCell ref="AX23:AZ24"/>
    <mergeCell ref="AR23:AT24"/>
    <mergeCell ref="AO23:AQ24"/>
    <mergeCell ref="AI23:AK24"/>
    <mergeCell ref="AI30:AK31"/>
    <mergeCell ref="W1:Y2"/>
    <mergeCell ref="R14:T15"/>
    <mergeCell ref="AO1:AQ2"/>
    <mergeCell ref="AX14:AZ15"/>
    <mergeCell ref="AX1:AZ2"/>
    <mergeCell ref="T1:V2"/>
    <mergeCell ref="AL1:AN2"/>
    <mergeCell ref="AL14:AN15"/>
    <mergeCell ref="U14:W15"/>
    <mergeCell ref="AR1:AT2"/>
    <mergeCell ref="AI1:AK2"/>
    <mergeCell ref="AI14:AK15"/>
    <mergeCell ref="AF1:AH2"/>
    <mergeCell ref="AF14:AH15"/>
    <mergeCell ref="AO14:AQ15"/>
    <mergeCell ref="AC1:AE2"/>
    <mergeCell ref="A1:J1"/>
    <mergeCell ref="K30:K31"/>
    <mergeCell ref="L30:N31"/>
    <mergeCell ref="R1:S2"/>
    <mergeCell ref="K14:K15"/>
    <mergeCell ref="K1:K2"/>
    <mergeCell ref="L1:N2"/>
    <mergeCell ref="K23:K24"/>
    <mergeCell ref="L23:N24"/>
    <mergeCell ref="L14:N15"/>
    <mergeCell ref="R30:T31"/>
    <mergeCell ref="R23:T24"/>
    <mergeCell ref="O1:Q2"/>
    <mergeCell ref="O14:Q15"/>
    <mergeCell ref="O30:Q31"/>
    <mergeCell ref="O23:Q24"/>
    <mergeCell ref="U23:W24"/>
    <mergeCell ref="AL30:AN31"/>
    <mergeCell ref="AL23:AN24"/>
    <mergeCell ref="AF23:AH24"/>
    <mergeCell ref="AF30:AH31"/>
    <mergeCell ref="A118:C118"/>
    <mergeCell ref="AO30:AQ31"/>
    <mergeCell ref="U30:W31"/>
    <mergeCell ref="A59:H59"/>
    <mergeCell ref="K40:Y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00"/>
  <sheetViews>
    <sheetView zoomScaleNormal="100" workbookViewId="0">
      <selection activeCell="Z23" sqref="Z23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18" width="5.875" bestFit="1" customWidth="1"/>
    <col min="19" max="19" width="5.75" customWidth="1"/>
    <col min="20" max="30" width="5.375" customWidth="1"/>
    <col min="31" max="51" width="5.75" customWidth="1"/>
    <col min="52" max="60" width="5.625" customWidth="1"/>
  </cols>
  <sheetData>
    <row r="1" spans="1:66" ht="14.95" customHeight="1" thickBot="1" x14ac:dyDescent="0.3">
      <c r="A1" s="88" t="s">
        <v>910</v>
      </c>
      <c r="B1" s="64"/>
      <c r="C1" s="64"/>
      <c r="D1" s="64"/>
      <c r="E1" s="64"/>
      <c r="F1" s="64"/>
      <c r="G1" s="64"/>
      <c r="H1" s="64"/>
      <c r="I1" s="64"/>
      <c r="J1" s="65"/>
      <c r="K1" s="494" t="s">
        <v>194</v>
      </c>
      <c r="L1" s="481" t="s">
        <v>44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239</v>
      </c>
      <c r="U1" s="458"/>
      <c r="V1" s="459"/>
      <c r="W1" s="457" t="s">
        <v>903</v>
      </c>
      <c r="X1" s="458"/>
      <c r="Y1" s="459"/>
      <c r="Z1" s="195"/>
      <c r="AA1" s="160"/>
      <c r="AB1" s="457" t="s">
        <v>601</v>
      </c>
      <c r="AC1" s="458"/>
      <c r="AD1" s="459"/>
      <c r="AE1" s="457" t="s">
        <v>494</v>
      </c>
      <c r="AF1" s="458"/>
      <c r="AG1" s="459"/>
      <c r="AH1" s="457" t="s">
        <v>407</v>
      </c>
      <c r="AI1" s="458"/>
      <c r="AJ1" s="459"/>
      <c r="AK1" s="457" t="s">
        <v>313</v>
      </c>
      <c r="AL1" s="458"/>
      <c r="AM1" s="459"/>
      <c r="AN1" s="457" t="s">
        <v>228</v>
      </c>
      <c r="AO1" s="458"/>
      <c r="AP1" s="459"/>
      <c r="AQ1" s="457" t="s">
        <v>172</v>
      </c>
      <c r="AR1" s="458"/>
      <c r="AS1" s="459"/>
      <c r="AT1" s="457" t="s">
        <v>79</v>
      </c>
      <c r="AU1" s="458"/>
      <c r="AV1" s="459"/>
      <c r="AW1" s="457" t="s">
        <v>54</v>
      </c>
      <c r="AX1" s="458"/>
      <c r="AY1" s="459"/>
      <c r="AZ1" s="457" t="s">
        <v>50</v>
      </c>
      <c r="BA1" s="458"/>
      <c r="BB1" s="459"/>
      <c r="BC1" s="457" t="s">
        <v>37</v>
      </c>
      <c r="BD1" s="458"/>
      <c r="BE1" s="459"/>
      <c r="BF1" s="457" t="s">
        <v>42</v>
      </c>
      <c r="BG1" s="458"/>
      <c r="BH1" s="459"/>
      <c r="BI1" s="4"/>
      <c r="BJ1" s="4"/>
      <c r="BK1" s="4"/>
      <c r="BN1" s="4"/>
    </row>
    <row r="2" spans="1:66" ht="14.95" customHeight="1" thickBot="1" x14ac:dyDescent="0.3">
      <c r="A2" s="106" t="s">
        <v>0</v>
      </c>
      <c r="B2" s="114" t="s">
        <v>226</v>
      </c>
      <c r="C2" s="281" t="s">
        <v>31</v>
      </c>
      <c r="D2" s="227" t="s">
        <v>339</v>
      </c>
      <c r="E2" s="107" t="s">
        <v>1</v>
      </c>
      <c r="F2" s="260" t="s">
        <v>2</v>
      </c>
      <c r="G2" s="295" t="s">
        <v>226</v>
      </c>
      <c r="H2" s="328" t="s">
        <v>31</v>
      </c>
      <c r="I2" s="261" t="s">
        <v>339</v>
      </c>
      <c r="J2" s="105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195"/>
      <c r="AA2" s="160"/>
      <c r="AB2" s="460"/>
      <c r="AC2" s="461"/>
      <c r="AD2" s="462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  <c r="BF2" s="460"/>
      <c r="BG2" s="461"/>
      <c r="BH2" s="462"/>
      <c r="BI2" s="4"/>
      <c r="BJ2" s="4"/>
      <c r="BK2" s="4"/>
      <c r="BL2" s="4"/>
      <c r="BM2" s="4"/>
    </row>
    <row r="3" spans="1:66" ht="14.95" customHeight="1" thickBot="1" x14ac:dyDescent="0.3">
      <c r="A3" s="42" t="s">
        <v>441</v>
      </c>
      <c r="B3" s="77">
        <v>0</v>
      </c>
      <c r="C3" s="282">
        <v>0</v>
      </c>
      <c r="D3" s="228">
        <v>0</v>
      </c>
      <c r="E3" s="5">
        <f>SUM(B3:D3)</f>
        <v>0</v>
      </c>
      <c r="F3" s="262" t="s">
        <v>441</v>
      </c>
      <c r="G3" s="296">
        <v>0</v>
      </c>
      <c r="H3" s="329">
        <v>0</v>
      </c>
      <c r="I3" s="263">
        <v>0</v>
      </c>
      <c r="J3" s="76">
        <f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6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6" ht="14.95" thickBot="1" x14ac:dyDescent="0.3">
      <c r="A4" s="42" t="s">
        <v>649</v>
      </c>
      <c r="B4" s="77">
        <v>0</v>
      </c>
      <c r="C4" s="282">
        <v>0</v>
      </c>
      <c r="D4" s="228">
        <v>0</v>
      </c>
      <c r="E4" s="5">
        <f>SUM(B4:D4)</f>
        <v>0</v>
      </c>
      <c r="F4" s="262" t="s">
        <v>649</v>
      </c>
      <c r="G4" s="296">
        <v>0</v>
      </c>
      <c r="H4" s="329">
        <v>0</v>
      </c>
      <c r="I4" s="263">
        <v>0</v>
      </c>
      <c r="J4" s="76">
        <f>SUM(G4:I4)</f>
        <v>0</v>
      </c>
      <c r="K4" s="118" t="s">
        <v>441</v>
      </c>
      <c r="L4" s="40" t="s">
        <v>15</v>
      </c>
      <c r="M4" s="40" t="s">
        <v>15</v>
      </c>
      <c r="N4" s="41" t="s">
        <v>15</v>
      </c>
      <c r="O4" s="89" t="s">
        <v>15</v>
      </c>
      <c r="P4" s="89" t="s">
        <v>15</v>
      </c>
      <c r="Q4" s="90" t="s">
        <v>15</v>
      </c>
      <c r="R4" s="40" t="s">
        <v>19</v>
      </c>
      <c r="S4" s="40">
        <v>4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148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148" t="s">
        <v>15</v>
      </c>
      <c r="BA4" s="7" t="s">
        <v>15</v>
      </c>
      <c r="BB4" s="7" t="s">
        <v>15</v>
      </c>
      <c r="BC4" s="148" t="s">
        <v>15</v>
      </c>
      <c r="BD4" s="7" t="s">
        <v>15</v>
      </c>
      <c r="BE4" s="7" t="s">
        <v>15</v>
      </c>
      <c r="BF4" s="148" t="s">
        <v>15</v>
      </c>
      <c r="BG4" s="7" t="s">
        <v>15</v>
      </c>
      <c r="BH4" s="7" t="s">
        <v>15</v>
      </c>
      <c r="BI4" s="4"/>
      <c r="BJ4" s="4"/>
      <c r="BK4" s="4"/>
      <c r="BL4" s="4"/>
      <c r="BM4" s="4"/>
    </row>
    <row r="5" spans="1:66" ht="14.95" thickBot="1" x14ac:dyDescent="0.3">
      <c r="A5" s="42" t="s">
        <v>789</v>
      </c>
      <c r="B5" s="77">
        <v>1</v>
      </c>
      <c r="C5" s="282">
        <v>2</v>
      </c>
      <c r="D5" s="228">
        <v>0</v>
      </c>
      <c r="E5" s="5">
        <f>SUM(B5:D5)</f>
        <v>3</v>
      </c>
      <c r="F5" s="262" t="s">
        <v>789</v>
      </c>
      <c r="G5" s="296">
        <v>5</v>
      </c>
      <c r="H5" s="329">
        <v>10</v>
      </c>
      <c r="I5" s="263">
        <v>0</v>
      </c>
      <c r="J5" s="76">
        <f>SUM(G5:I5)</f>
        <v>15</v>
      </c>
      <c r="K5" s="118" t="s">
        <v>1065</v>
      </c>
      <c r="L5" s="40" t="s">
        <v>15</v>
      </c>
      <c r="M5" s="40" t="s">
        <v>15</v>
      </c>
      <c r="N5" s="41" t="s">
        <v>15</v>
      </c>
      <c r="O5" s="89" t="s">
        <v>15</v>
      </c>
      <c r="P5" s="89" t="s">
        <v>15</v>
      </c>
      <c r="Q5" s="90" t="s">
        <v>15</v>
      </c>
      <c r="R5" s="40" t="s">
        <v>19</v>
      </c>
      <c r="S5" s="40">
        <v>6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3"/>
      <c r="AA5" s="94"/>
      <c r="AB5" s="148" t="s">
        <v>15</v>
      </c>
      <c r="AC5" s="7" t="s">
        <v>15</v>
      </c>
      <c r="AD5" s="153" t="s">
        <v>15</v>
      </c>
      <c r="AE5" s="148" t="s">
        <v>15</v>
      </c>
      <c r="AF5" s="7" t="s">
        <v>15</v>
      </c>
      <c r="AG5" s="153" t="s">
        <v>15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148" t="s">
        <v>15</v>
      </c>
      <c r="AX5" s="7" t="s">
        <v>15</v>
      </c>
      <c r="AY5" s="7" t="s">
        <v>15</v>
      </c>
      <c r="AZ5" s="148" t="s">
        <v>15</v>
      </c>
      <c r="BA5" s="7" t="s">
        <v>15</v>
      </c>
      <c r="BB5" s="7" t="s">
        <v>15</v>
      </c>
      <c r="BC5" s="148" t="s">
        <v>15</v>
      </c>
      <c r="BD5" s="7" t="s">
        <v>15</v>
      </c>
      <c r="BE5" s="7" t="s">
        <v>15</v>
      </c>
      <c r="BF5" s="148" t="s">
        <v>15</v>
      </c>
      <c r="BG5" s="7" t="s">
        <v>15</v>
      </c>
      <c r="BH5" s="7" t="s">
        <v>15</v>
      </c>
      <c r="BI5" s="4"/>
      <c r="BJ5" s="4"/>
      <c r="BK5" s="4"/>
      <c r="BL5" s="4"/>
      <c r="BM5" s="4"/>
    </row>
    <row r="6" spans="1:66" ht="14.95" thickBot="1" x14ac:dyDescent="0.3">
      <c r="A6" s="42" t="s">
        <v>487</v>
      </c>
      <c r="B6" s="77">
        <v>0</v>
      </c>
      <c r="C6" s="282">
        <v>0</v>
      </c>
      <c r="D6" s="228">
        <v>0</v>
      </c>
      <c r="E6" s="5">
        <f>SUM(B6:D6)</f>
        <v>0</v>
      </c>
      <c r="F6" s="262" t="s">
        <v>487</v>
      </c>
      <c r="G6" s="296">
        <v>0</v>
      </c>
      <c r="H6" s="329">
        <v>0</v>
      </c>
      <c r="I6" s="263">
        <v>0</v>
      </c>
      <c r="J6" s="76">
        <f>SUM(G6:I6)</f>
        <v>0</v>
      </c>
      <c r="K6" s="118" t="s">
        <v>893</v>
      </c>
      <c r="L6" s="40" t="s">
        <v>15</v>
      </c>
      <c r="M6" s="40" t="s">
        <v>15</v>
      </c>
      <c r="N6" s="41" t="s">
        <v>15</v>
      </c>
      <c r="O6" s="89" t="s">
        <v>15</v>
      </c>
      <c r="P6" s="89" t="s">
        <v>15</v>
      </c>
      <c r="Q6" s="90" t="s">
        <v>15</v>
      </c>
      <c r="R6" s="40">
        <v>-1</v>
      </c>
      <c r="S6" s="40">
        <v>2</v>
      </c>
      <c r="T6" s="7">
        <v>0</v>
      </c>
      <c r="U6" s="7">
        <v>1</v>
      </c>
      <c r="V6" s="153">
        <v>0</v>
      </c>
      <c r="W6" s="7" t="s">
        <v>15</v>
      </c>
      <c r="X6" s="7" t="s">
        <v>15</v>
      </c>
      <c r="Y6" s="153" t="s">
        <v>15</v>
      </c>
      <c r="Z6" s="93"/>
      <c r="AA6" s="94"/>
      <c r="AB6" s="148">
        <v>1</v>
      </c>
      <c r="AC6" s="7">
        <v>1</v>
      </c>
      <c r="AD6" s="153">
        <v>100</v>
      </c>
      <c r="AE6" s="148">
        <v>25</v>
      </c>
      <c r="AF6" s="7">
        <v>33</v>
      </c>
      <c r="AG6" s="153">
        <v>75.757575757575751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148" t="s">
        <v>15</v>
      </c>
      <c r="BA6" s="7" t="s">
        <v>15</v>
      </c>
      <c r="BB6" s="7" t="s">
        <v>15</v>
      </c>
      <c r="BC6" s="148" t="s">
        <v>15</v>
      </c>
      <c r="BD6" s="7" t="s">
        <v>15</v>
      </c>
      <c r="BE6" s="7" t="s">
        <v>15</v>
      </c>
      <c r="BF6" s="148" t="s">
        <v>15</v>
      </c>
      <c r="BG6" s="7" t="s">
        <v>15</v>
      </c>
      <c r="BH6" s="7" t="s">
        <v>15</v>
      </c>
      <c r="BI6" s="4"/>
      <c r="BJ6" s="4"/>
      <c r="BK6" s="4"/>
      <c r="BL6" s="4"/>
      <c r="BM6" s="4"/>
    </row>
    <row r="7" spans="1:66" ht="14.95" thickBot="1" x14ac:dyDescent="0.3">
      <c r="A7" s="42" t="s">
        <v>158</v>
      </c>
      <c r="B7" s="77">
        <v>0</v>
      </c>
      <c r="C7" s="282">
        <v>0</v>
      </c>
      <c r="D7" s="228">
        <v>0</v>
      </c>
      <c r="E7" s="5">
        <f t="shared" ref="E7:E48" si="0">SUM(B7:D7)</f>
        <v>0</v>
      </c>
      <c r="F7" s="262" t="s">
        <v>158</v>
      </c>
      <c r="G7" s="296">
        <v>0</v>
      </c>
      <c r="H7" s="329">
        <v>0</v>
      </c>
      <c r="I7" s="263">
        <v>0</v>
      </c>
      <c r="J7" s="76">
        <f t="shared" ref="J7:J48" si="1">SUM(G7:I7)</f>
        <v>0</v>
      </c>
      <c r="K7" s="118" t="s">
        <v>219</v>
      </c>
      <c r="L7" s="40">
        <v>1</v>
      </c>
      <c r="M7" s="40">
        <v>1</v>
      </c>
      <c r="N7" s="41">
        <f t="shared" ref="N7" si="2">SUM(L7/M7)*100</f>
        <v>100</v>
      </c>
      <c r="O7" s="89" t="s">
        <v>15</v>
      </c>
      <c r="P7" s="89" t="s">
        <v>15</v>
      </c>
      <c r="Q7" s="90" t="s">
        <v>15</v>
      </c>
      <c r="R7" s="40">
        <v>7</v>
      </c>
      <c r="S7" s="40">
        <v>7</v>
      </c>
      <c r="T7" s="7">
        <v>25</v>
      </c>
      <c r="U7" s="7">
        <v>31</v>
      </c>
      <c r="V7" s="153">
        <v>80.645161290322577</v>
      </c>
      <c r="W7" s="7">
        <v>5</v>
      </c>
      <c r="X7" s="7">
        <v>6</v>
      </c>
      <c r="Y7" s="153">
        <v>83.333333333333343</v>
      </c>
      <c r="Z7" s="93"/>
      <c r="AA7" s="94"/>
      <c r="AB7" s="148" t="s">
        <v>15</v>
      </c>
      <c r="AC7" s="7" t="s">
        <v>15</v>
      </c>
      <c r="AD7" s="153" t="s">
        <v>15</v>
      </c>
      <c r="AE7" s="148" t="s">
        <v>15</v>
      </c>
      <c r="AF7" s="7" t="s">
        <v>15</v>
      </c>
      <c r="AG7" s="153" t="s">
        <v>15</v>
      </c>
      <c r="AH7" s="148" t="s">
        <v>15</v>
      </c>
      <c r="AI7" s="7" t="s">
        <v>15</v>
      </c>
      <c r="AJ7" s="7" t="s">
        <v>15</v>
      </c>
      <c r="AK7" s="148">
        <v>0</v>
      </c>
      <c r="AL7" s="7">
        <v>2</v>
      </c>
      <c r="AM7" s="7">
        <f t="shared" ref="AM7" si="3">SUM(AK7/AL7)*100</f>
        <v>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s="4"/>
      <c r="BJ7" s="4"/>
      <c r="BK7" s="4"/>
      <c r="BL7" s="4"/>
      <c r="BM7" s="4"/>
    </row>
    <row r="8" spans="1:66" ht="14.95" thickBot="1" x14ac:dyDescent="0.3">
      <c r="A8" s="42" t="s">
        <v>152</v>
      </c>
      <c r="B8" s="77">
        <v>0</v>
      </c>
      <c r="C8" s="282">
        <v>0</v>
      </c>
      <c r="D8" s="228">
        <v>0</v>
      </c>
      <c r="E8" s="5">
        <f t="shared" si="0"/>
        <v>0</v>
      </c>
      <c r="F8" s="262" t="s">
        <v>152</v>
      </c>
      <c r="G8" s="296">
        <v>0</v>
      </c>
      <c r="H8" s="329">
        <v>0</v>
      </c>
      <c r="I8" s="263">
        <v>0</v>
      </c>
      <c r="J8" s="76">
        <f t="shared" si="1"/>
        <v>0</v>
      </c>
      <c r="K8" s="118" t="s">
        <v>461</v>
      </c>
      <c r="L8" s="40" t="s">
        <v>15</v>
      </c>
      <c r="M8" s="40" t="s">
        <v>15</v>
      </c>
      <c r="N8" s="41" t="s">
        <v>15</v>
      </c>
      <c r="O8" s="89" t="s">
        <v>15</v>
      </c>
      <c r="P8" s="89" t="s">
        <v>15</v>
      </c>
      <c r="Q8" s="90" t="s">
        <v>15</v>
      </c>
      <c r="R8" s="40" t="s">
        <v>19</v>
      </c>
      <c r="S8" s="40">
        <v>5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48" t="s">
        <v>15</v>
      </c>
      <c r="AC8" s="7" t="s">
        <v>15</v>
      </c>
      <c r="AD8" s="153" t="s">
        <v>15</v>
      </c>
      <c r="AE8" s="148" t="s">
        <v>15</v>
      </c>
      <c r="AF8" s="7" t="s">
        <v>15</v>
      </c>
      <c r="AG8" s="153" t="s">
        <v>15</v>
      </c>
      <c r="AH8" s="148" t="s">
        <v>15</v>
      </c>
      <c r="AI8" s="7" t="s">
        <v>15</v>
      </c>
      <c r="AJ8" s="7" t="s">
        <v>15</v>
      </c>
      <c r="AK8" s="148" t="s">
        <v>15</v>
      </c>
      <c r="AL8" s="7" t="s">
        <v>15</v>
      </c>
      <c r="AM8" s="7" t="s">
        <v>15</v>
      </c>
      <c r="AN8" s="148" t="s">
        <v>15</v>
      </c>
      <c r="AO8" s="7" t="s">
        <v>15</v>
      </c>
      <c r="AP8" s="7" t="s">
        <v>15</v>
      </c>
      <c r="AQ8" s="148" t="s">
        <v>15</v>
      </c>
      <c r="AR8" s="7" t="s">
        <v>15</v>
      </c>
      <c r="AS8" s="7" t="s">
        <v>15</v>
      </c>
      <c r="AT8" s="148" t="s">
        <v>15</v>
      </c>
      <c r="AU8" s="7" t="s">
        <v>15</v>
      </c>
      <c r="AV8" s="7" t="s">
        <v>15</v>
      </c>
      <c r="AW8" s="148" t="s">
        <v>15</v>
      </c>
      <c r="AX8" s="7" t="s">
        <v>15</v>
      </c>
      <c r="AY8" s="7" t="s">
        <v>15</v>
      </c>
      <c r="AZ8" s="148" t="s">
        <v>15</v>
      </c>
      <c r="BA8" s="7" t="s">
        <v>15</v>
      </c>
      <c r="BB8" s="7" t="s">
        <v>15</v>
      </c>
      <c r="BC8" s="148" t="s">
        <v>15</v>
      </c>
      <c r="BD8" s="7" t="s">
        <v>15</v>
      </c>
      <c r="BE8" s="7" t="s">
        <v>15</v>
      </c>
      <c r="BF8" s="148" t="s">
        <v>15</v>
      </c>
      <c r="BG8" s="7" t="s">
        <v>15</v>
      </c>
      <c r="BH8" s="7" t="s">
        <v>15</v>
      </c>
      <c r="BI8" s="4"/>
      <c r="BJ8" s="4"/>
      <c r="BK8" s="4"/>
      <c r="BL8" s="4"/>
      <c r="BM8" s="4"/>
    </row>
    <row r="9" spans="1:66" ht="14.95" thickBot="1" x14ac:dyDescent="0.3">
      <c r="A9" s="42" t="s">
        <v>1065</v>
      </c>
      <c r="B9" s="77">
        <v>0</v>
      </c>
      <c r="C9" s="282">
        <v>0</v>
      </c>
      <c r="D9" s="228">
        <v>0</v>
      </c>
      <c r="E9" s="5">
        <f t="shared" si="0"/>
        <v>0</v>
      </c>
      <c r="F9" s="262" t="s">
        <v>1065</v>
      </c>
      <c r="G9" s="296">
        <v>0</v>
      </c>
      <c r="H9" s="329">
        <v>11</v>
      </c>
      <c r="I9" s="263">
        <v>3</v>
      </c>
      <c r="J9" s="76">
        <f t="shared" si="1"/>
        <v>14</v>
      </c>
      <c r="K9" s="15" t="s">
        <v>16</v>
      </c>
      <c r="L9" s="40">
        <v>37</v>
      </c>
      <c r="M9" s="40">
        <v>46</v>
      </c>
      <c r="N9" s="41">
        <f t="shared" ref="N9" si="4">SUM(L9/M9)*100</f>
        <v>80.434782608695656</v>
      </c>
      <c r="O9" s="89">
        <v>3</v>
      </c>
      <c r="P9" s="89">
        <v>4</v>
      </c>
      <c r="Q9" s="90">
        <f t="shared" ref="Q9" si="5">SUM(O9/P9)*100</f>
        <v>75</v>
      </c>
      <c r="R9" s="89">
        <v>1</v>
      </c>
      <c r="S9" s="89">
        <v>1</v>
      </c>
      <c r="T9" s="7">
        <v>25</v>
      </c>
      <c r="U9" s="7">
        <v>37</v>
      </c>
      <c r="V9" s="153">
        <v>67.567567567567565</v>
      </c>
      <c r="W9" s="7">
        <v>59</v>
      </c>
      <c r="X9" s="7">
        <v>78</v>
      </c>
      <c r="Y9" s="153">
        <v>75.641025641025635</v>
      </c>
      <c r="Z9" s="93"/>
      <c r="AA9" s="94"/>
      <c r="AB9" s="148">
        <v>15</v>
      </c>
      <c r="AC9" s="7">
        <v>18</v>
      </c>
      <c r="AD9" s="153">
        <v>83.333333333333343</v>
      </c>
      <c r="AE9" s="148">
        <v>18</v>
      </c>
      <c r="AF9" s="7">
        <v>25</v>
      </c>
      <c r="AG9" s="153">
        <f t="shared" ref="AG9:AG10" si="6">SUM(AE9/AF9)*100</f>
        <v>72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>
        <v>2</v>
      </c>
      <c r="AR9" s="7">
        <v>7</v>
      </c>
      <c r="AS9" s="153">
        <f t="shared" ref="AS9" si="7">SUM(AQ9/AR9)*100</f>
        <v>28.571428571428569</v>
      </c>
      <c r="AT9" s="148">
        <v>27</v>
      </c>
      <c r="AU9" s="7">
        <v>36</v>
      </c>
      <c r="AV9" s="153">
        <f>SUM(AT9/AU9)*100</f>
        <v>75</v>
      </c>
      <c r="AW9" s="148">
        <v>3</v>
      </c>
      <c r="AX9" s="7">
        <v>6</v>
      </c>
      <c r="AY9" s="153">
        <f>SUM(AW9/AX9)*100</f>
        <v>50</v>
      </c>
      <c r="AZ9" s="7">
        <v>44</v>
      </c>
      <c r="BA9" s="7">
        <v>56</v>
      </c>
      <c r="BB9" s="153">
        <f>SUM(AZ9/BA9)*100</f>
        <v>78.571428571428569</v>
      </c>
      <c r="BC9" s="7">
        <v>14</v>
      </c>
      <c r="BD9" s="7">
        <v>22</v>
      </c>
      <c r="BE9" s="153">
        <f>SUM(BC9/BD9)*100</f>
        <v>63.636363636363633</v>
      </c>
      <c r="BF9" s="7">
        <v>1</v>
      </c>
      <c r="BG9" s="7">
        <v>1</v>
      </c>
      <c r="BH9" s="7">
        <v>100</v>
      </c>
    </row>
    <row r="10" spans="1:66" ht="17" customHeight="1" thickBot="1" x14ac:dyDescent="0.3">
      <c r="A10" s="42" t="s">
        <v>915</v>
      </c>
      <c r="B10" s="77">
        <v>3</v>
      </c>
      <c r="C10" s="282">
        <v>1</v>
      </c>
      <c r="D10" s="228">
        <v>1</v>
      </c>
      <c r="E10" s="5">
        <f t="shared" si="0"/>
        <v>5</v>
      </c>
      <c r="F10" s="262" t="s">
        <v>915</v>
      </c>
      <c r="G10" s="296">
        <v>15</v>
      </c>
      <c r="H10" s="329">
        <v>5</v>
      </c>
      <c r="I10" s="263">
        <v>5</v>
      </c>
      <c r="J10" s="76">
        <f t="shared" si="1"/>
        <v>25</v>
      </c>
      <c r="K10" s="91" t="s">
        <v>479</v>
      </c>
      <c r="L10" s="40" t="s">
        <v>15</v>
      </c>
      <c r="M10" s="40" t="s">
        <v>15</v>
      </c>
      <c r="N10" s="41" t="s">
        <v>15</v>
      </c>
      <c r="O10" s="89">
        <v>0</v>
      </c>
      <c r="P10" s="89">
        <v>1</v>
      </c>
      <c r="Q10" s="90">
        <f t="shared" ref="Q10" si="8">SUM(O10/P10)*100</f>
        <v>0</v>
      </c>
      <c r="R10" s="89">
        <v>3</v>
      </c>
      <c r="S10" s="89">
        <v>-4</v>
      </c>
      <c r="T10" s="7">
        <v>3</v>
      </c>
      <c r="U10" s="7">
        <v>4</v>
      </c>
      <c r="V10" s="153">
        <v>75</v>
      </c>
      <c r="W10" s="7">
        <v>2</v>
      </c>
      <c r="X10" s="7">
        <v>8</v>
      </c>
      <c r="Y10" s="153">
        <v>25</v>
      </c>
      <c r="Z10" s="93"/>
      <c r="AA10" s="94"/>
      <c r="AB10" s="148">
        <v>13</v>
      </c>
      <c r="AC10" s="7">
        <v>17</v>
      </c>
      <c r="AD10" s="153">
        <v>76.470588235294116</v>
      </c>
      <c r="AE10" s="148">
        <v>3</v>
      </c>
      <c r="AF10" s="7">
        <v>7</v>
      </c>
      <c r="AG10" s="153">
        <f t="shared" si="6"/>
        <v>42.857142857142854</v>
      </c>
      <c r="AH10" s="148">
        <v>5</v>
      </c>
      <c r="AI10" s="7">
        <v>8</v>
      </c>
      <c r="AJ10" s="153">
        <f>SUM(AH10/AI10)*100</f>
        <v>62.5</v>
      </c>
      <c r="AK10" s="148">
        <v>3</v>
      </c>
      <c r="AL10" s="7">
        <v>5</v>
      </c>
      <c r="AM10" s="7">
        <f t="shared" ref="AM10" si="9">SUM(AK10/AL10)*100</f>
        <v>60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6" ht="14.95" customHeight="1" thickBot="1" x14ac:dyDescent="0.3">
      <c r="A11" s="42" t="s">
        <v>471</v>
      </c>
      <c r="B11" s="77">
        <v>8</v>
      </c>
      <c r="C11" s="282">
        <v>1</v>
      </c>
      <c r="D11" s="228">
        <v>0</v>
      </c>
      <c r="E11" s="5">
        <f t="shared" si="0"/>
        <v>9</v>
      </c>
      <c r="F11" s="262" t="s">
        <v>471</v>
      </c>
      <c r="G11" s="296">
        <v>40</v>
      </c>
      <c r="H11" s="329">
        <v>5</v>
      </c>
      <c r="I11" s="263">
        <v>0</v>
      </c>
      <c r="J11" s="76">
        <f t="shared" si="1"/>
        <v>45</v>
      </c>
      <c r="K11" s="56"/>
      <c r="AQ11" s="4"/>
      <c r="AR11" s="4"/>
      <c r="AS11" s="4"/>
      <c r="AU11" s="4"/>
      <c r="AV11" s="4"/>
    </row>
    <row r="12" spans="1:66" ht="14.95" customHeight="1" thickBot="1" x14ac:dyDescent="0.3">
      <c r="A12" s="42" t="s">
        <v>498</v>
      </c>
      <c r="B12" s="77">
        <v>5</v>
      </c>
      <c r="C12" s="282">
        <v>1</v>
      </c>
      <c r="D12" s="228">
        <v>0</v>
      </c>
      <c r="E12" s="5">
        <f t="shared" ref="E12" si="10">SUM(B12:D12)</f>
        <v>6</v>
      </c>
      <c r="F12" s="262" t="s">
        <v>498</v>
      </c>
      <c r="G12" s="296">
        <v>25</v>
      </c>
      <c r="H12" s="329">
        <v>5</v>
      </c>
      <c r="I12" s="263">
        <v>0</v>
      </c>
      <c r="J12" s="76">
        <f t="shared" ref="J12" si="11">SUM(G12:I12)</f>
        <v>30</v>
      </c>
      <c r="K12" s="492" t="s">
        <v>195</v>
      </c>
      <c r="L12" s="457" t="s">
        <v>14</v>
      </c>
      <c r="M12" s="458"/>
      <c r="N12" s="459"/>
      <c r="O12" s="457" t="s">
        <v>234</v>
      </c>
      <c r="P12" s="458"/>
      <c r="Q12" s="459"/>
      <c r="R12" s="457" t="s">
        <v>903</v>
      </c>
      <c r="S12" s="458"/>
      <c r="T12" s="459"/>
      <c r="U12" s="457" t="s">
        <v>601</v>
      </c>
      <c r="V12" s="458"/>
      <c r="W12" s="459"/>
      <c r="X12" s="160"/>
      <c r="Y12" s="160"/>
      <c r="Z12" s="160"/>
      <c r="AB12" s="457" t="s">
        <v>494</v>
      </c>
      <c r="AC12" s="458"/>
      <c r="AD12" s="459"/>
      <c r="AE12" s="457" t="s">
        <v>407</v>
      </c>
      <c r="AF12" s="458"/>
      <c r="AG12" s="459"/>
      <c r="AH12" s="457" t="s">
        <v>313</v>
      </c>
      <c r="AI12" s="458"/>
      <c r="AJ12" s="459"/>
      <c r="AK12" s="457" t="s">
        <v>227</v>
      </c>
      <c r="AL12" s="458"/>
      <c r="AM12" s="459"/>
      <c r="AN12" s="457" t="s">
        <v>172</v>
      </c>
      <c r="AO12" s="458"/>
      <c r="AP12" s="459"/>
      <c r="AQ12" s="457" t="s">
        <v>79</v>
      </c>
      <c r="AR12" s="458"/>
      <c r="AS12" s="459"/>
      <c r="AT12" s="457" t="s">
        <v>54</v>
      </c>
      <c r="AU12" s="458"/>
      <c r="AV12" s="459"/>
      <c r="AW12" s="457" t="s">
        <v>50</v>
      </c>
      <c r="AX12" s="458"/>
      <c r="AY12" s="459"/>
      <c r="AZ12" s="457" t="s">
        <v>41</v>
      </c>
      <c r="BA12" s="458"/>
      <c r="BB12" s="459"/>
      <c r="BC12" s="62"/>
      <c r="BD12" s="62"/>
      <c r="BJ12" s="4"/>
      <c r="BK12" s="4"/>
      <c r="BL12" s="4"/>
      <c r="BM12" s="4"/>
      <c r="BN12" s="4"/>
    </row>
    <row r="13" spans="1:66" ht="14.95" customHeight="1" thickBot="1" x14ac:dyDescent="0.3">
      <c r="A13" s="42" t="s">
        <v>646</v>
      </c>
      <c r="B13" s="77">
        <v>0</v>
      </c>
      <c r="C13" s="282">
        <v>0</v>
      </c>
      <c r="D13" s="228">
        <v>0</v>
      </c>
      <c r="E13" s="5">
        <f t="shared" si="0"/>
        <v>0</v>
      </c>
      <c r="F13" s="262" t="s">
        <v>646</v>
      </c>
      <c r="G13" s="296">
        <v>0</v>
      </c>
      <c r="H13" s="329">
        <v>0</v>
      </c>
      <c r="I13" s="263">
        <v>0</v>
      </c>
      <c r="J13" s="76">
        <f t="shared" si="1"/>
        <v>0</v>
      </c>
      <c r="K13" s="493"/>
      <c r="L13" s="460"/>
      <c r="M13" s="461"/>
      <c r="N13" s="462"/>
      <c r="O13" s="460"/>
      <c r="P13" s="461"/>
      <c r="Q13" s="462"/>
      <c r="R13" s="460"/>
      <c r="S13" s="461"/>
      <c r="T13" s="462"/>
      <c r="U13" s="460"/>
      <c r="V13" s="461"/>
      <c r="W13" s="462"/>
      <c r="X13" s="160"/>
      <c r="Y13" s="160"/>
      <c r="Z13" s="160"/>
      <c r="AB13" s="460"/>
      <c r="AC13" s="461"/>
      <c r="AD13" s="462"/>
      <c r="AE13" s="460"/>
      <c r="AF13" s="461"/>
      <c r="AG13" s="462"/>
      <c r="AH13" s="460"/>
      <c r="AI13" s="461"/>
      <c r="AJ13" s="462"/>
      <c r="AK13" s="460"/>
      <c r="AL13" s="461"/>
      <c r="AM13" s="462"/>
      <c r="AN13" s="460"/>
      <c r="AO13" s="461"/>
      <c r="AP13" s="462"/>
      <c r="AQ13" s="460"/>
      <c r="AR13" s="461"/>
      <c r="AS13" s="462"/>
      <c r="AT13" s="460"/>
      <c r="AU13" s="461"/>
      <c r="AV13" s="462"/>
      <c r="AW13" s="460"/>
      <c r="AX13" s="461"/>
      <c r="AY13" s="462"/>
      <c r="AZ13" s="460"/>
      <c r="BA13" s="461"/>
      <c r="BB13" s="462"/>
      <c r="BC13" s="62"/>
      <c r="BD13" s="62"/>
      <c r="BJ13" s="4"/>
      <c r="BK13" s="4"/>
      <c r="BL13" s="4"/>
      <c r="BM13" s="4"/>
      <c r="BN13" s="4"/>
    </row>
    <row r="14" spans="1:66" ht="14.95" customHeight="1" thickBot="1" x14ac:dyDescent="0.3">
      <c r="A14" s="42" t="s">
        <v>1081</v>
      </c>
      <c r="B14" s="77">
        <v>0</v>
      </c>
      <c r="C14" s="282">
        <v>0</v>
      </c>
      <c r="D14" s="228">
        <v>1</v>
      </c>
      <c r="E14" s="5">
        <f t="shared" si="0"/>
        <v>1</v>
      </c>
      <c r="F14" s="262" t="s">
        <v>1081</v>
      </c>
      <c r="G14" s="296">
        <v>0</v>
      </c>
      <c r="H14" s="329">
        <v>0</v>
      </c>
      <c r="I14" s="263">
        <v>5</v>
      </c>
      <c r="J14" s="76">
        <f t="shared" si="1"/>
        <v>5</v>
      </c>
      <c r="K14" s="252" t="s">
        <v>21</v>
      </c>
      <c r="L14" s="7" t="s">
        <v>46</v>
      </c>
      <c r="M14" s="7" t="s">
        <v>9</v>
      </c>
      <c r="N14" s="7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62"/>
      <c r="BD14" s="62"/>
      <c r="BJ14" s="4"/>
      <c r="BK14" s="4"/>
      <c r="BL14" s="4"/>
      <c r="BM14" s="4"/>
      <c r="BN14" s="4"/>
    </row>
    <row r="15" spans="1:66" ht="14.95" customHeight="1" thickBot="1" x14ac:dyDescent="0.3">
      <c r="A15" s="42" t="s">
        <v>499</v>
      </c>
      <c r="B15" s="77">
        <v>1</v>
      </c>
      <c r="C15" s="282">
        <v>0</v>
      </c>
      <c r="D15" s="228">
        <v>0</v>
      </c>
      <c r="E15" s="5">
        <f t="shared" ref="E15" si="12">SUM(B15:D15)</f>
        <v>1</v>
      </c>
      <c r="F15" s="262" t="s">
        <v>499</v>
      </c>
      <c r="G15" s="296">
        <v>5</v>
      </c>
      <c r="H15" s="329">
        <v>0</v>
      </c>
      <c r="I15" s="263">
        <v>0</v>
      </c>
      <c r="J15" s="76">
        <f t="shared" ref="J15" si="13">SUM(G15:I15)</f>
        <v>5</v>
      </c>
      <c r="K15" s="118" t="s">
        <v>893</v>
      </c>
      <c r="L15" s="7" t="s">
        <v>15</v>
      </c>
      <c r="M15" s="7" t="s">
        <v>15</v>
      </c>
      <c r="N15" s="153" t="s">
        <v>15</v>
      </c>
      <c r="O15" s="7">
        <v>1</v>
      </c>
      <c r="P15" s="7">
        <v>3</v>
      </c>
      <c r="Q15" s="153">
        <v>33.333333333333329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B15" s="148" t="s">
        <v>15</v>
      </c>
      <c r="AC15" s="7" t="s">
        <v>15</v>
      </c>
      <c r="AD15" s="153" t="s">
        <v>15</v>
      </c>
      <c r="AE15" s="6" t="s">
        <v>15</v>
      </c>
      <c r="AF15" s="7" t="s">
        <v>15</v>
      </c>
      <c r="AG15" s="153" t="s">
        <v>15</v>
      </c>
      <c r="AH15" s="7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62"/>
      <c r="BD15" s="62"/>
      <c r="BI15" s="4"/>
      <c r="BJ15" s="4"/>
      <c r="BK15" s="4"/>
    </row>
    <row r="16" spans="1:66" ht="14.95" customHeight="1" thickBot="1" x14ac:dyDescent="0.3">
      <c r="A16" s="42" t="s">
        <v>500</v>
      </c>
      <c r="B16" s="77">
        <v>0</v>
      </c>
      <c r="C16" s="282">
        <v>0</v>
      </c>
      <c r="D16" s="228">
        <v>0</v>
      </c>
      <c r="E16" s="5">
        <f t="shared" ref="E16:E17" si="14">SUM(B16:D16)</f>
        <v>0</v>
      </c>
      <c r="F16" s="262" t="s">
        <v>500</v>
      </c>
      <c r="G16" s="296">
        <v>0</v>
      </c>
      <c r="H16" s="329">
        <v>0</v>
      </c>
      <c r="I16" s="263">
        <v>7</v>
      </c>
      <c r="J16" s="76">
        <f t="shared" ref="J16:J17" si="15">SUM(G16:I16)</f>
        <v>7</v>
      </c>
      <c r="K16" s="118" t="s">
        <v>219</v>
      </c>
      <c r="L16" s="7" t="s">
        <v>15</v>
      </c>
      <c r="M16" s="7" t="s">
        <v>15</v>
      </c>
      <c r="N16" s="153" t="s">
        <v>15</v>
      </c>
      <c r="O16" s="7">
        <v>3</v>
      </c>
      <c r="P16" s="7">
        <v>4</v>
      </c>
      <c r="Q16" s="153">
        <v>75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7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  <c r="BD16" s="62"/>
    </row>
    <row r="17" spans="1:66" ht="14.95" customHeight="1" thickBot="1" x14ac:dyDescent="0.3">
      <c r="A17" s="42" t="s">
        <v>1101</v>
      </c>
      <c r="B17" s="77">
        <v>0</v>
      </c>
      <c r="C17" s="282">
        <v>1</v>
      </c>
      <c r="D17" s="228">
        <v>0</v>
      </c>
      <c r="E17" s="5">
        <f t="shared" si="14"/>
        <v>1</v>
      </c>
      <c r="F17" s="262" t="s">
        <v>1101</v>
      </c>
      <c r="G17" s="296">
        <v>0</v>
      </c>
      <c r="H17" s="329">
        <v>5</v>
      </c>
      <c r="I17" s="263">
        <v>0</v>
      </c>
      <c r="J17" s="76">
        <f t="shared" si="15"/>
        <v>5</v>
      </c>
      <c r="K17" s="15" t="s">
        <v>16</v>
      </c>
      <c r="L17" s="7" t="s">
        <v>15</v>
      </c>
      <c r="M17" s="7" t="s">
        <v>15</v>
      </c>
      <c r="N17" s="153" t="s">
        <v>15</v>
      </c>
      <c r="O17" s="7">
        <v>4</v>
      </c>
      <c r="P17" s="7">
        <v>6</v>
      </c>
      <c r="Q17" s="7">
        <v>67</v>
      </c>
      <c r="R17" s="7">
        <v>17</v>
      </c>
      <c r="S17" s="7">
        <v>21</v>
      </c>
      <c r="T17" s="7">
        <v>80.952380952380949</v>
      </c>
      <c r="U17" s="7">
        <v>2</v>
      </c>
      <c r="V17" s="7">
        <v>2</v>
      </c>
      <c r="W17" s="7">
        <v>100</v>
      </c>
      <c r="AB17" s="148">
        <v>2</v>
      </c>
      <c r="AC17" s="7">
        <v>2</v>
      </c>
      <c r="AD17" s="7">
        <f t="shared" ref="AD17" si="16">SUM(AB17/AC17)*100</f>
        <v>100</v>
      </c>
      <c r="AE17" s="148" t="s">
        <v>15</v>
      </c>
      <c r="AF17" s="7" t="s">
        <v>15</v>
      </c>
      <c r="AG17" s="7" t="s">
        <v>15</v>
      </c>
      <c r="AH17" s="148" t="s">
        <v>15</v>
      </c>
      <c r="AI17" s="7" t="s">
        <v>15</v>
      </c>
      <c r="AJ17" s="7" t="s">
        <v>15</v>
      </c>
      <c r="AK17" s="148" t="s">
        <v>15</v>
      </c>
      <c r="AL17" s="7" t="s">
        <v>15</v>
      </c>
      <c r="AM17" s="7" t="s">
        <v>15</v>
      </c>
      <c r="AN17" s="148" t="s">
        <v>15</v>
      </c>
      <c r="AO17" s="7" t="s">
        <v>15</v>
      </c>
      <c r="AP17" s="7" t="s">
        <v>15</v>
      </c>
      <c r="AQ17" s="148">
        <v>4</v>
      </c>
      <c r="AR17" s="7">
        <v>5</v>
      </c>
      <c r="AS17" s="153">
        <f>SUM(AQ17/AR17)*100</f>
        <v>80</v>
      </c>
      <c r="AT17" s="148">
        <v>5</v>
      </c>
      <c r="AU17" s="7">
        <v>8</v>
      </c>
      <c r="AV17" s="153">
        <f>SUM(AT17/AU17)*100</f>
        <v>62.5</v>
      </c>
      <c r="AW17" s="6" t="s">
        <v>15</v>
      </c>
      <c r="AX17" s="7" t="s">
        <v>15</v>
      </c>
      <c r="AY17" s="7" t="s">
        <v>15</v>
      </c>
      <c r="AZ17" s="148">
        <v>8</v>
      </c>
      <c r="BA17" s="7">
        <v>9</v>
      </c>
      <c r="BB17" s="153">
        <f>SUM(AZ17/BA17)*100</f>
        <v>88.888888888888886</v>
      </c>
      <c r="BC17" s="62"/>
      <c r="BD17" s="62"/>
      <c r="BJ17" s="4"/>
      <c r="BK17" s="4"/>
    </row>
    <row r="18" spans="1:66" ht="14.95" customHeight="1" thickBot="1" x14ac:dyDescent="0.3">
      <c r="A18" s="42" t="s">
        <v>219</v>
      </c>
      <c r="B18" s="77">
        <v>0</v>
      </c>
      <c r="C18" s="282">
        <v>0</v>
      </c>
      <c r="D18" s="228">
        <v>0</v>
      </c>
      <c r="E18" s="5">
        <f t="shared" si="0"/>
        <v>0</v>
      </c>
      <c r="F18" s="262" t="s">
        <v>219</v>
      </c>
      <c r="G18" s="296">
        <v>2</v>
      </c>
      <c r="H18" s="329">
        <v>0</v>
      </c>
      <c r="I18" s="263">
        <v>0</v>
      </c>
      <c r="J18" s="76">
        <f t="shared" si="1"/>
        <v>2</v>
      </c>
      <c r="K18" s="191" t="s">
        <v>479</v>
      </c>
      <c r="L18" s="7" t="s">
        <v>15</v>
      </c>
      <c r="M18" s="7" t="s">
        <v>15</v>
      </c>
      <c r="N18" s="153" t="s">
        <v>15</v>
      </c>
      <c r="O18" s="7">
        <v>1</v>
      </c>
      <c r="P18" s="7">
        <v>1</v>
      </c>
      <c r="Q18" s="7">
        <v>100</v>
      </c>
      <c r="R18" s="7" t="s">
        <v>15</v>
      </c>
      <c r="S18" s="7" t="s">
        <v>15</v>
      </c>
      <c r="T18" s="7" t="s">
        <v>15</v>
      </c>
      <c r="U18" s="7">
        <v>2</v>
      </c>
      <c r="V18" s="7">
        <v>2</v>
      </c>
      <c r="W18" s="7">
        <v>100</v>
      </c>
      <c r="AB18" s="148" t="s">
        <v>15</v>
      </c>
      <c r="AC18" s="7" t="s">
        <v>15</v>
      </c>
      <c r="AD18" s="7" t="s">
        <v>15</v>
      </c>
      <c r="AE18" s="6">
        <v>1</v>
      </c>
      <c r="AF18" s="6">
        <v>1</v>
      </c>
      <c r="AG18" s="157">
        <f t="shared" ref="AG18" si="17">SUM(AE18/AF18)*100</f>
        <v>100</v>
      </c>
      <c r="AH18" s="6">
        <v>1</v>
      </c>
      <c r="AI18" s="6">
        <v>1</v>
      </c>
      <c r="AJ18" s="157">
        <f t="shared" ref="AJ18" si="18">SUM(AH18/AI18)*100</f>
        <v>100</v>
      </c>
      <c r="AK18" s="6" t="s">
        <v>15</v>
      </c>
      <c r="AL18" s="7" t="s">
        <v>15</v>
      </c>
      <c r="AM18" s="7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6" t="s">
        <v>15</v>
      </c>
      <c r="AX18" s="7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62"/>
      <c r="BD18" s="62"/>
    </row>
    <row r="19" spans="1:66" ht="14.95" customHeight="1" thickBot="1" x14ac:dyDescent="0.3">
      <c r="A19" s="42" t="s">
        <v>911</v>
      </c>
      <c r="B19" s="77">
        <v>0</v>
      </c>
      <c r="C19" s="282">
        <v>1</v>
      </c>
      <c r="D19" s="228">
        <v>0</v>
      </c>
      <c r="E19" s="5">
        <f t="shared" si="0"/>
        <v>1</v>
      </c>
      <c r="F19" s="262" t="s">
        <v>911</v>
      </c>
      <c r="G19" s="296">
        <v>0</v>
      </c>
      <c r="H19" s="329">
        <v>5</v>
      </c>
      <c r="I19" s="263">
        <v>0</v>
      </c>
      <c r="J19" s="76">
        <f t="shared" si="1"/>
        <v>5</v>
      </c>
      <c r="K19" s="57"/>
      <c r="L19" s="58"/>
      <c r="M19" s="58"/>
      <c r="N19" s="59"/>
      <c r="O19" s="161"/>
      <c r="P19" s="161"/>
      <c r="Q19" s="161"/>
      <c r="R19" s="62"/>
      <c r="S19" s="62"/>
      <c r="T19" s="62"/>
      <c r="U19" s="62"/>
      <c r="V19" s="62"/>
      <c r="W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O19" s="4"/>
      <c r="AP19" s="4"/>
      <c r="AQ19" s="4"/>
      <c r="AT19" s="4"/>
      <c r="BC19" s="87"/>
      <c r="BD19" s="4"/>
      <c r="BE19" s="4"/>
    </row>
    <row r="20" spans="1:66" ht="14.95" customHeight="1" thickBot="1" x14ac:dyDescent="0.3">
      <c r="A20" s="42" t="s">
        <v>340</v>
      </c>
      <c r="B20" s="77">
        <v>0</v>
      </c>
      <c r="C20" s="282">
        <v>0</v>
      </c>
      <c r="D20" s="228">
        <v>0</v>
      </c>
      <c r="E20" s="5">
        <f t="shared" si="0"/>
        <v>0</v>
      </c>
      <c r="F20" s="262" t="s">
        <v>340</v>
      </c>
      <c r="G20" s="296">
        <v>0</v>
      </c>
      <c r="H20" s="329">
        <v>0</v>
      </c>
      <c r="I20" s="263">
        <v>0</v>
      </c>
      <c r="J20" s="76">
        <f t="shared" si="1"/>
        <v>0</v>
      </c>
      <c r="K20" s="487" t="s">
        <v>196</v>
      </c>
      <c r="L20" s="500" t="s">
        <v>14</v>
      </c>
      <c r="M20" s="501"/>
      <c r="N20" s="502"/>
      <c r="O20" s="457" t="s">
        <v>234</v>
      </c>
      <c r="P20" s="458"/>
      <c r="Q20" s="459"/>
      <c r="R20" s="457" t="s">
        <v>903</v>
      </c>
      <c r="S20" s="458"/>
      <c r="T20" s="459"/>
      <c r="U20" s="457" t="s">
        <v>601</v>
      </c>
      <c r="V20" s="458"/>
      <c r="W20" s="459"/>
      <c r="AB20" s="457" t="s">
        <v>494</v>
      </c>
      <c r="AC20" s="458"/>
      <c r="AD20" s="459"/>
      <c r="AE20" s="457" t="s">
        <v>407</v>
      </c>
      <c r="AF20" s="458"/>
      <c r="AG20" s="459"/>
      <c r="AH20" s="457" t="s">
        <v>313</v>
      </c>
      <c r="AI20" s="458"/>
      <c r="AJ20" s="459"/>
      <c r="AK20" s="457" t="s">
        <v>228</v>
      </c>
      <c r="AL20" s="458"/>
      <c r="AM20" s="459"/>
      <c r="AN20" s="457" t="s">
        <v>172</v>
      </c>
      <c r="AO20" s="458"/>
      <c r="AP20" s="459"/>
      <c r="AQ20" s="457" t="s">
        <v>79</v>
      </c>
      <c r="AR20" s="458"/>
      <c r="AS20" s="459"/>
      <c r="AT20" s="457" t="s">
        <v>54</v>
      </c>
      <c r="AU20" s="458"/>
      <c r="AV20" s="459"/>
      <c r="AW20" s="457" t="s">
        <v>59</v>
      </c>
      <c r="AX20" s="458"/>
      <c r="AY20" s="459"/>
      <c r="AZ20" s="457" t="s">
        <v>41</v>
      </c>
      <c r="BA20" s="458"/>
      <c r="BB20" s="459"/>
      <c r="BC20" s="62"/>
      <c r="BD20" s="62"/>
      <c r="BJ20" s="4"/>
      <c r="BK20" s="4"/>
    </row>
    <row r="21" spans="1:66" ht="14.95" customHeight="1" thickBot="1" x14ac:dyDescent="0.3">
      <c r="A21" s="42" t="s">
        <v>271</v>
      </c>
      <c r="B21" s="77">
        <v>0</v>
      </c>
      <c r="C21" s="282">
        <v>1</v>
      </c>
      <c r="D21" s="228">
        <v>0</v>
      </c>
      <c r="E21" s="5">
        <f t="shared" si="0"/>
        <v>1</v>
      </c>
      <c r="F21" s="262" t="s">
        <v>271</v>
      </c>
      <c r="G21" s="296">
        <v>0</v>
      </c>
      <c r="H21" s="329">
        <v>5</v>
      </c>
      <c r="I21" s="263">
        <v>0</v>
      </c>
      <c r="J21" s="76">
        <f t="shared" si="1"/>
        <v>5</v>
      </c>
      <c r="K21" s="488"/>
      <c r="L21" s="503"/>
      <c r="M21" s="504"/>
      <c r="N21" s="505"/>
      <c r="O21" s="460"/>
      <c r="P21" s="461"/>
      <c r="Q21" s="462"/>
      <c r="R21" s="460"/>
      <c r="S21" s="461"/>
      <c r="T21" s="462"/>
      <c r="U21" s="460"/>
      <c r="V21" s="461"/>
      <c r="W21" s="462"/>
      <c r="AB21" s="460"/>
      <c r="AC21" s="461"/>
      <c r="AD21" s="462"/>
      <c r="AE21" s="460"/>
      <c r="AF21" s="461"/>
      <c r="AG21" s="462"/>
      <c r="AH21" s="460"/>
      <c r="AI21" s="461"/>
      <c r="AJ21" s="462"/>
      <c r="AK21" s="460"/>
      <c r="AL21" s="461"/>
      <c r="AM21" s="462"/>
      <c r="AN21" s="460"/>
      <c r="AO21" s="461"/>
      <c r="AP21" s="462"/>
      <c r="AQ21" s="460"/>
      <c r="AR21" s="461"/>
      <c r="AS21" s="462"/>
      <c r="AT21" s="460"/>
      <c r="AU21" s="461"/>
      <c r="AV21" s="462"/>
      <c r="AW21" s="460"/>
      <c r="AX21" s="461"/>
      <c r="AY21" s="462"/>
      <c r="AZ21" s="460"/>
      <c r="BA21" s="461"/>
      <c r="BB21" s="462"/>
      <c r="BC21" s="62"/>
      <c r="BD21" s="62"/>
      <c r="BI21" s="4"/>
    </row>
    <row r="22" spans="1:66" ht="14.95" customHeight="1" thickBot="1" x14ac:dyDescent="0.3">
      <c r="A22" s="42" t="s">
        <v>462</v>
      </c>
      <c r="B22" s="77">
        <v>0</v>
      </c>
      <c r="C22" s="282">
        <v>0</v>
      </c>
      <c r="D22" s="228">
        <v>0</v>
      </c>
      <c r="E22" s="5">
        <f t="shared" si="0"/>
        <v>0</v>
      </c>
      <c r="F22" s="262" t="s">
        <v>462</v>
      </c>
      <c r="G22" s="296">
        <v>0</v>
      </c>
      <c r="H22" s="329">
        <v>0</v>
      </c>
      <c r="I22" s="263">
        <v>0</v>
      </c>
      <c r="J22" s="76">
        <f t="shared" si="1"/>
        <v>0</v>
      </c>
      <c r="K22" s="246" t="s">
        <v>21</v>
      </c>
      <c r="L22" s="247" t="s">
        <v>46</v>
      </c>
      <c r="M22" s="247" t="s">
        <v>9</v>
      </c>
      <c r="N22" s="24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148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  <c r="BC22" s="62"/>
      <c r="BD22" s="62"/>
      <c r="BL22" s="4"/>
    </row>
    <row r="23" spans="1:66" ht="14.95" customHeight="1" thickBot="1" x14ac:dyDescent="0.3">
      <c r="A23" s="42" t="s">
        <v>461</v>
      </c>
      <c r="B23" s="77">
        <v>0</v>
      </c>
      <c r="C23" s="282">
        <v>0</v>
      </c>
      <c r="D23" s="228">
        <v>0</v>
      </c>
      <c r="E23" s="5">
        <f t="shared" si="0"/>
        <v>0</v>
      </c>
      <c r="F23" s="262" t="s">
        <v>461</v>
      </c>
      <c r="G23" s="296">
        <v>0</v>
      </c>
      <c r="H23" s="329">
        <v>0</v>
      </c>
      <c r="I23" s="263">
        <v>0</v>
      </c>
      <c r="J23" s="76">
        <f t="shared" si="1"/>
        <v>0</v>
      </c>
      <c r="K23" s="118" t="s">
        <v>1065</v>
      </c>
      <c r="L23" s="40">
        <v>5</v>
      </c>
      <c r="M23" s="40">
        <v>5</v>
      </c>
      <c r="N23" s="41">
        <f t="shared" ref="N23" si="19">SUM(L23/M23)*100</f>
        <v>100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6" t="s">
        <v>15</v>
      </c>
      <c r="AF23" s="7" t="s">
        <v>15</v>
      </c>
      <c r="AG23" s="153" t="s">
        <v>15</v>
      </c>
      <c r="AH23" s="7" t="s">
        <v>15</v>
      </c>
      <c r="AI23" s="7" t="s">
        <v>15</v>
      </c>
      <c r="AJ23" s="153" t="s">
        <v>15</v>
      </c>
      <c r="AK23" s="7" t="s">
        <v>15</v>
      </c>
      <c r="AL23" s="7" t="s">
        <v>15</v>
      </c>
      <c r="AM23" s="153" t="s">
        <v>15</v>
      </c>
      <c r="AN23" s="7" t="s">
        <v>15</v>
      </c>
      <c r="AO23" s="7" t="s">
        <v>15</v>
      </c>
      <c r="AP23" s="153" t="s">
        <v>15</v>
      </c>
      <c r="AQ23" s="7" t="s">
        <v>15</v>
      </c>
      <c r="AR23" s="7" t="s">
        <v>15</v>
      </c>
      <c r="AS23" s="153" t="s">
        <v>15</v>
      </c>
      <c r="AT23" s="7" t="s">
        <v>15</v>
      </c>
      <c r="AU23" s="7" t="s">
        <v>15</v>
      </c>
      <c r="AV23" s="153" t="s">
        <v>15</v>
      </c>
      <c r="AW23" s="7" t="s">
        <v>15</v>
      </c>
      <c r="AX23" s="7" t="s">
        <v>15</v>
      </c>
      <c r="AY23" s="153" t="s">
        <v>15</v>
      </c>
      <c r="AZ23" s="7" t="s">
        <v>15</v>
      </c>
      <c r="BA23" s="7" t="s">
        <v>15</v>
      </c>
      <c r="BB23" s="153" t="s">
        <v>15</v>
      </c>
      <c r="BC23" s="62"/>
      <c r="BD23" s="62"/>
      <c r="BJ23" s="4"/>
      <c r="BK23" s="4"/>
      <c r="BM23" s="4"/>
      <c r="BN23" s="4"/>
    </row>
    <row r="24" spans="1:66" ht="14.95" customHeight="1" thickBot="1" x14ac:dyDescent="0.3">
      <c r="A24" s="42" t="s">
        <v>588</v>
      </c>
      <c r="B24" s="77">
        <v>0</v>
      </c>
      <c r="C24" s="282">
        <v>0</v>
      </c>
      <c r="D24" s="228">
        <v>1</v>
      </c>
      <c r="E24" s="5">
        <f t="shared" si="0"/>
        <v>1</v>
      </c>
      <c r="F24" s="262" t="s">
        <v>588</v>
      </c>
      <c r="G24" s="296">
        <v>0</v>
      </c>
      <c r="H24" s="329">
        <v>0</v>
      </c>
      <c r="I24" s="263">
        <v>5</v>
      </c>
      <c r="J24" s="76">
        <f t="shared" si="1"/>
        <v>5</v>
      </c>
      <c r="K24" s="118" t="s">
        <v>893</v>
      </c>
      <c r="L24" s="40" t="s">
        <v>15</v>
      </c>
      <c r="M24" s="40" t="s">
        <v>15</v>
      </c>
      <c r="N24" s="40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148">
        <v>4</v>
      </c>
      <c r="AC24" s="7">
        <v>5</v>
      </c>
      <c r="AD24" s="153">
        <v>80</v>
      </c>
      <c r="AE24" s="148" t="s">
        <v>15</v>
      </c>
      <c r="AF24" s="7" t="s">
        <v>15</v>
      </c>
      <c r="AG24" s="7" t="s">
        <v>15</v>
      </c>
      <c r="AH24" s="148" t="s">
        <v>15</v>
      </c>
      <c r="AI24" s="7" t="s">
        <v>15</v>
      </c>
      <c r="AJ24" s="7" t="s">
        <v>15</v>
      </c>
      <c r="AK24" s="148" t="s">
        <v>15</v>
      </c>
      <c r="AL24" s="7" t="s">
        <v>15</v>
      </c>
      <c r="AM24" s="7" t="s">
        <v>15</v>
      </c>
      <c r="AN24" s="148" t="s">
        <v>15</v>
      </c>
      <c r="AO24" s="7" t="s">
        <v>15</v>
      </c>
      <c r="AP24" s="7" t="s">
        <v>15</v>
      </c>
      <c r="AQ24" s="148" t="s">
        <v>15</v>
      </c>
      <c r="AR24" s="7" t="s">
        <v>15</v>
      </c>
      <c r="AS24" s="7" t="s">
        <v>15</v>
      </c>
      <c r="AT24" s="148" t="s">
        <v>15</v>
      </c>
      <c r="AU24" s="7" t="s">
        <v>15</v>
      </c>
      <c r="AV24" s="7" t="s">
        <v>15</v>
      </c>
      <c r="AW24" s="148" t="s">
        <v>15</v>
      </c>
      <c r="AX24" s="7" t="s">
        <v>15</v>
      </c>
      <c r="AY24" s="7" t="s">
        <v>15</v>
      </c>
      <c r="AZ24" s="148" t="s">
        <v>15</v>
      </c>
      <c r="BA24" s="7" t="s">
        <v>15</v>
      </c>
      <c r="BB24" s="7" t="s">
        <v>15</v>
      </c>
      <c r="BC24" s="62"/>
      <c r="BD24" s="62"/>
      <c r="BJ24" s="4"/>
      <c r="BK24" s="4"/>
      <c r="BL24" s="4"/>
      <c r="BM24" s="4"/>
    </row>
    <row r="25" spans="1:66" ht="14.95" customHeight="1" thickBot="1" x14ac:dyDescent="0.3">
      <c r="A25" s="42" t="s">
        <v>896</v>
      </c>
      <c r="B25" s="77">
        <v>0</v>
      </c>
      <c r="C25" s="282">
        <v>0</v>
      </c>
      <c r="D25" s="228">
        <v>0</v>
      </c>
      <c r="E25" s="5">
        <f t="shared" si="0"/>
        <v>0</v>
      </c>
      <c r="F25" s="262" t="s">
        <v>896</v>
      </c>
      <c r="G25" s="296">
        <v>0</v>
      </c>
      <c r="H25" s="329">
        <v>0</v>
      </c>
      <c r="I25" s="263">
        <v>0</v>
      </c>
      <c r="J25" s="76">
        <f t="shared" si="1"/>
        <v>0</v>
      </c>
      <c r="K25" s="15" t="s">
        <v>16</v>
      </c>
      <c r="L25" s="40">
        <v>12</v>
      </c>
      <c r="M25" s="40">
        <v>14</v>
      </c>
      <c r="N25" s="41">
        <f t="shared" ref="N25:N26" si="20">SUM(L25/M25)*100</f>
        <v>85.714285714285708</v>
      </c>
      <c r="O25" s="7" t="s">
        <v>15</v>
      </c>
      <c r="P25" s="7" t="s">
        <v>15</v>
      </c>
      <c r="Q25" s="7" t="s">
        <v>15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AB25" s="148" t="s">
        <v>15</v>
      </c>
      <c r="AC25" s="7" t="s">
        <v>15</v>
      </c>
      <c r="AD25" s="7" t="s">
        <v>15</v>
      </c>
      <c r="AE25" s="148" t="s">
        <v>15</v>
      </c>
      <c r="AF25" s="7" t="s">
        <v>15</v>
      </c>
      <c r="AG25" s="7" t="s">
        <v>15</v>
      </c>
      <c r="AH25" s="148" t="s">
        <v>15</v>
      </c>
      <c r="AI25" s="7" t="s">
        <v>15</v>
      </c>
      <c r="AJ25" s="7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148" t="s">
        <v>15</v>
      </c>
      <c r="AP25" s="7" t="s">
        <v>15</v>
      </c>
      <c r="AQ25" s="7" t="s">
        <v>15</v>
      </c>
      <c r="AR25" s="148" t="s">
        <v>15</v>
      </c>
      <c r="AS25" s="148" t="s">
        <v>15</v>
      </c>
      <c r="AT25" s="148" t="s">
        <v>15</v>
      </c>
      <c r="AU25" s="7" t="s">
        <v>15</v>
      </c>
      <c r="AV25" s="7" t="s">
        <v>15</v>
      </c>
      <c r="AW25" s="148">
        <v>20</v>
      </c>
      <c r="AX25" s="7">
        <v>25</v>
      </c>
      <c r="AY25" s="153">
        <f>SUM(AW25/AX25)*100</f>
        <v>80</v>
      </c>
      <c r="AZ25" s="7" t="s">
        <v>15</v>
      </c>
      <c r="BA25" s="7" t="s">
        <v>15</v>
      </c>
      <c r="BB25" s="7" t="s">
        <v>15</v>
      </c>
      <c r="BC25" s="62"/>
      <c r="BD25" s="62"/>
    </row>
    <row r="26" spans="1:66" ht="14.95" customHeight="1" thickBot="1" x14ac:dyDescent="0.3">
      <c r="A26" s="42" t="s">
        <v>898</v>
      </c>
      <c r="B26" s="77">
        <v>0</v>
      </c>
      <c r="C26" s="282">
        <v>1</v>
      </c>
      <c r="D26" s="228">
        <v>0</v>
      </c>
      <c r="E26" s="5">
        <f t="shared" si="0"/>
        <v>1</v>
      </c>
      <c r="F26" s="262" t="s">
        <v>898</v>
      </c>
      <c r="G26" s="296">
        <v>0</v>
      </c>
      <c r="H26" s="329">
        <v>5</v>
      </c>
      <c r="I26" s="263">
        <v>0</v>
      </c>
      <c r="J26" s="76">
        <f t="shared" si="1"/>
        <v>5</v>
      </c>
      <c r="K26" s="191" t="s">
        <v>479</v>
      </c>
      <c r="L26" s="40">
        <v>0</v>
      </c>
      <c r="M26" s="40">
        <v>1</v>
      </c>
      <c r="N26" s="40">
        <f t="shared" si="20"/>
        <v>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B26" s="148" t="s">
        <v>15</v>
      </c>
      <c r="AC26" s="7" t="s">
        <v>15</v>
      </c>
      <c r="AD26" s="7" t="s">
        <v>15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148" t="s">
        <v>15</v>
      </c>
      <c r="AL26" s="7" t="s">
        <v>15</v>
      </c>
      <c r="AM26" s="7" t="s">
        <v>15</v>
      </c>
      <c r="AN26" s="148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6" t="s">
        <v>15</v>
      </c>
      <c r="AX26" s="7" t="s">
        <v>15</v>
      </c>
      <c r="AY26" s="7" t="s">
        <v>15</v>
      </c>
      <c r="AZ26" s="7" t="s">
        <v>15</v>
      </c>
      <c r="BA26" s="7" t="s">
        <v>15</v>
      </c>
      <c r="BB26" s="7" t="s">
        <v>15</v>
      </c>
      <c r="BC26" s="62"/>
      <c r="BD26" s="62"/>
    </row>
    <row r="27" spans="1:66" ht="14.95" customHeight="1" thickBot="1" x14ac:dyDescent="0.3">
      <c r="A27" s="42" t="s">
        <v>914</v>
      </c>
      <c r="B27" s="77">
        <v>0</v>
      </c>
      <c r="C27" s="282">
        <v>0</v>
      </c>
      <c r="D27" s="228">
        <v>0</v>
      </c>
      <c r="E27" s="5">
        <f t="shared" si="0"/>
        <v>0</v>
      </c>
      <c r="F27" s="262" t="s">
        <v>914</v>
      </c>
      <c r="G27" s="296">
        <v>0</v>
      </c>
      <c r="H27" s="329">
        <v>0</v>
      </c>
      <c r="I27" s="263">
        <v>0</v>
      </c>
      <c r="J27" s="76">
        <f t="shared" si="1"/>
        <v>0</v>
      </c>
      <c r="K27" s="57"/>
      <c r="L27" s="58"/>
      <c r="M27" s="58"/>
      <c r="N27" s="59"/>
      <c r="O27" s="161"/>
      <c r="P27" s="161"/>
      <c r="Q27" s="161"/>
      <c r="R27" s="62"/>
      <c r="S27" s="62"/>
      <c r="T27" s="62"/>
      <c r="U27" s="62"/>
      <c r="V27" s="62"/>
      <c r="W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O27" s="4"/>
      <c r="AP27" s="4"/>
      <c r="AQ27" s="4"/>
      <c r="AT27" s="4"/>
      <c r="BD27" s="4"/>
      <c r="BE27" s="4"/>
      <c r="BG27" s="4"/>
      <c r="BH27" s="4"/>
    </row>
    <row r="28" spans="1:66" ht="14.95" customHeight="1" thickBot="1" x14ac:dyDescent="0.3">
      <c r="A28" s="42" t="s">
        <v>386</v>
      </c>
      <c r="B28" s="77">
        <v>0</v>
      </c>
      <c r="C28" s="282">
        <v>0</v>
      </c>
      <c r="D28" s="228">
        <v>0</v>
      </c>
      <c r="E28" s="5">
        <f t="shared" si="0"/>
        <v>0</v>
      </c>
      <c r="F28" s="262" t="s">
        <v>386</v>
      </c>
      <c r="G28" s="296">
        <v>0</v>
      </c>
      <c r="H28" s="329">
        <v>0</v>
      </c>
      <c r="I28" s="263">
        <v>0</v>
      </c>
      <c r="J28" s="76">
        <f t="shared" si="1"/>
        <v>0</v>
      </c>
      <c r="K28" s="479" t="s">
        <v>1032</v>
      </c>
      <c r="L28" s="512" t="s">
        <v>14</v>
      </c>
      <c r="M28" s="513"/>
      <c r="N28" s="514"/>
      <c r="O28" s="457" t="s">
        <v>234</v>
      </c>
      <c r="P28" s="458"/>
      <c r="Q28" s="459"/>
      <c r="R28" s="457" t="s">
        <v>903</v>
      </c>
      <c r="S28" s="458"/>
      <c r="T28" s="459"/>
      <c r="U28" s="457" t="s">
        <v>601</v>
      </c>
      <c r="V28" s="458"/>
      <c r="W28" s="459"/>
      <c r="AB28" s="457" t="s">
        <v>494</v>
      </c>
      <c r="AC28" s="458"/>
      <c r="AD28" s="459"/>
      <c r="AE28" s="457" t="s">
        <v>313</v>
      </c>
      <c r="AF28" s="458"/>
      <c r="AG28" s="459"/>
      <c r="AH28" s="457" t="s">
        <v>228</v>
      </c>
      <c r="AI28" s="458"/>
      <c r="AJ28" s="459"/>
      <c r="AK28" s="457" t="s">
        <v>172</v>
      </c>
      <c r="AL28" s="458"/>
      <c r="AM28" s="459"/>
      <c r="AN28" s="457" t="s">
        <v>79</v>
      </c>
      <c r="AO28" s="458"/>
      <c r="AP28" s="459"/>
      <c r="AQ28" s="457" t="s">
        <v>50</v>
      </c>
      <c r="AR28" s="458"/>
      <c r="AS28" s="459"/>
      <c r="AT28" s="457" t="s">
        <v>37</v>
      </c>
      <c r="AU28" s="458"/>
      <c r="AV28" s="459"/>
      <c r="AW28" s="62"/>
      <c r="AX28" s="62"/>
      <c r="AY28" s="62"/>
      <c r="AZ28" s="62"/>
      <c r="BA28" s="62"/>
    </row>
    <row r="29" spans="1:66" ht="14.95" customHeight="1" thickBot="1" x14ac:dyDescent="0.3">
      <c r="A29" s="42" t="s">
        <v>148</v>
      </c>
      <c r="B29" s="77">
        <v>0</v>
      </c>
      <c r="C29" s="282">
        <v>0</v>
      </c>
      <c r="D29" s="228">
        <v>0</v>
      </c>
      <c r="E29" s="5">
        <f t="shared" si="0"/>
        <v>0</v>
      </c>
      <c r="F29" s="262" t="s">
        <v>148</v>
      </c>
      <c r="G29" s="296">
        <v>0</v>
      </c>
      <c r="H29" s="329">
        <v>0</v>
      </c>
      <c r="I29" s="263">
        <v>0</v>
      </c>
      <c r="J29" s="76">
        <f t="shared" si="1"/>
        <v>0</v>
      </c>
      <c r="K29" s="480"/>
      <c r="L29" s="515"/>
      <c r="M29" s="516"/>
      <c r="N29" s="517"/>
      <c r="O29" s="460"/>
      <c r="P29" s="461"/>
      <c r="Q29" s="462"/>
      <c r="R29" s="460"/>
      <c r="S29" s="461"/>
      <c r="T29" s="462"/>
      <c r="U29" s="460"/>
      <c r="V29" s="461"/>
      <c r="W29" s="462"/>
      <c r="AB29" s="460"/>
      <c r="AC29" s="461"/>
      <c r="AD29" s="462"/>
      <c r="AE29" s="460"/>
      <c r="AF29" s="461"/>
      <c r="AG29" s="462"/>
      <c r="AH29" s="460"/>
      <c r="AI29" s="461"/>
      <c r="AJ29" s="462"/>
      <c r="AK29" s="460"/>
      <c r="AL29" s="461"/>
      <c r="AM29" s="462"/>
      <c r="AN29" s="460"/>
      <c r="AO29" s="461"/>
      <c r="AP29" s="462"/>
      <c r="AQ29" s="460"/>
      <c r="AR29" s="461"/>
      <c r="AS29" s="462"/>
      <c r="AT29" s="460"/>
      <c r="AU29" s="461"/>
      <c r="AV29" s="462"/>
      <c r="AW29" s="62"/>
      <c r="AX29" s="62"/>
      <c r="AY29" s="62"/>
      <c r="AZ29" s="62"/>
      <c r="BA29" s="62"/>
    </row>
    <row r="30" spans="1:66" ht="14.95" customHeight="1" thickBot="1" x14ac:dyDescent="0.3">
      <c r="A30" s="42" t="s">
        <v>381</v>
      </c>
      <c r="B30" s="77">
        <v>0</v>
      </c>
      <c r="C30" s="282">
        <v>1</v>
      </c>
      <c r="D30" s="228">
        <v>1</v>
      </c>
      <c r="E30" s="5">
        <f t="shared" si="0"/>
        <v>2</v>
      </c>
      <c r="F30" s="262" t="s">
        <v>381</v>
      </c>
      <c r="G30" s="296">
        <v>0</v>
      </c>
      <c r="H30" s="329">
        <v>5</v>
      </c>
      <c r="I30" s="263">
        <v>5</v>
      </c>
      <c r="J30" s="76">
        <f t="shared" si="1"/>
        <v>10</v>
      </c>
      <c r="K30" s="416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6" t="s">
        <v>46</v>
      </c>
      <c r="AU30" s="7" t="s">
        <v>9</v>
      </c>
      <c r="AV30" s="7" t="s">
        <v>10</v>
      </c>
      <c r="AW30" s="62"/>
      <c r="AX30" s="62"/>
      <c r="AY30" s="62"/>
      <c r="AZ30" s="62"/>
      <c r="BA30" s="62"/>
    </row>
    <row r="31" spans="1:66" ht="14.95" customHeight="1" thickBot="1" x14ac:dyDescent="0.3">
      <c r="A31" s="42" t="s">
        <v>4</v>
      </c>
      <c r="B31" s="77">
        <v>0</v>
      </c>
      <c r="C31" s="282">
        <v>0</v>
      </c>
      <c r="D31" s="228">
        <v>0</v>
      </c>
      <c r="E31" s="5">
        <f t="shared" si="0"/>
        <v>0</v>
      </c>
      <c r="F31" s="262" t="s">
        <v>4</v>
      </c>
      <c r="G31" s="296">
        <v>0</v>
      </c>
      <c r="H31" s="329">
        <v>0</v>
      </c>
      <c r="I31" s="263">
        <v>0</v>
      </c>
      <c r="J31" s="76">
        <f t="shared" si="1"/>
        <v>0</v>
      </c>
      <c r="K31" s="118" t="s">
        <v>441</v>
      </c>
      <c r="L31" s="40" t="s">
        <v>15</v>
      </c>
      <c r="M31" s="40" t="s">
        <v>15</v>
      </c>
      <c r="N31" s="41" t="s">
        <v>15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>
        <v>4</v>
      </c>
      <c r="V31" s="7">
        <v>4</v>
      </c>
      <c r="W31" s="153">
        <v>100</v>
      </c>
      <c r="AB31" s="148" t="s">
        <v>15</v>
      </c>
      <c r="AC31" s="7" t="s">
        <v>15</v>
      </c>
      <c r="AD31" s="153" t="s">
        <v>15</v>
      </c>
      <c r="AE31" s="148" t="s">
        <v>15</v>
      </c>
      <c r="AF31" s="7" t="s">
        <v>15</v>
      </c>
      <c r="AG31" s="153" t="s">
        <v>15</v>
      </c>
      <c r="AH31" s="6" t="s">
        <v>15</v>
      </c>
      <c r="AI31" s="7" t="s">
        <v>15</v>
      </c>
      <c r="AJ31" s="153" t="s">
        <v>15</v>
      </c>
      <c r="AK31" s="6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62"/>
      <c r="AX31" s="62"/>
      <c r="AY31" s="62"/>
      <c r="AZ31" s="62"/>
      <c r="BA31" s="62"/>
    </row>
    <row r="32" spans="1:66" ht="14.95" customHeight="1" thickBot="1" x14ac:dyDescent="0.3">
      <c r="A32" s="42" t="s">
        <v>1082</v>
      </c>
      <c r="B32" s="77">
        <v>1</v>
      </c>
      <c r="C32" s="282">
        <v>0</v>
      </c>
      <c r="D32" s="228">
        <v>1</v>
      </c>
      <c r="E32" s="5">
        <f t="shared" si="0"/>
        <v>2</v>
      </c>
      <c r="F32" s="262" t="s">
        <v>1082</v>
      </c>
      <c r="G32" s="296">
        <v>5</v>
      </c>
      <c r="H32" s="329">
        <v>0</v>
      </c>
      <c r="I32" s="263">
        <v>5</v>
      </c>
      <c r="J32" s="76">
        <f t="shared" si="1"/>
        <v>10</v>
      </c>
      <c r="K32" s="118" t="s">
        <v>1065</v>
      </c>
      <c r="L32" s="40">
        <v>1</v>
      </c>
      <c r="M32" s="40">
        <v>1</v>
      </c>
      <c r="N32" s="41">
        <f t="shared" ref="N32:N33" si="21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7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62"/>
      <c r="AX32" s="62"/>
      <c r="AY32" s="62"/>
      <c r="AZ32" s="62"/>
      <c r="BA32" s="62"/>
    </row>
    <row r="33" spans="1:53" ht="14.95" customHeight="1" thickBot="1" x14ac:dyDescent="0.3">
      <c r="A33" s="42" t="s">
        <v>652</v>
      </c>
      <c r="B33" s="77">
        <v>0</v>
      </c>
      <c r="C33" s="282">
        <v>0</v>
      </c>
      <c r="D33" s="228">
        <v>1</v>
      </c>
      <c r="E33" s="5">
        <f t="shared" si="0"/>
        <v>1</v>
      </c>
      <c r="F33" s="264" t="s">
        <v>652</v>
      </c>
      <c r="G33" s="296">
        <v>0</v>
      </c>
      <c r="H33" s="329">
        <v>0</v>
      </c>
      <c r="I33" s="263">
        <v>5</v>
      </c>
      <c r="J33" s="76">
        <f t="shared" ref="J33" si="22">SUM(G33:I33)</f>
        <v>5</v>
      </c>
      <c r="K33" s="118" t="s">
        <v>894</v>
      </c>
      <c r="L33" s="40">
        <v>3</v>
      </c>
      <c r="M33" s="40">
        <v>4</v>
      </c>
      <c r="N33" s="41">
        <f t="shared" si="21"/>
        <v>75</v>
      </c>
      <c r="O33" s="7">
        <v>6</v>
      </c>
      <c r="P33" s="7">
        <v>9</v>
      </c>
      <c r="Q33" s="153">
        <v>66.666666666666657</v>
      </c>
      <c r="R33" s="7">
        <v>9</v>
      </c>
      <c r="S33" s="7">
        <v>11</v>
      </c>
      <c r="T33" s="153">
        <v>81.818181818181827</v>
      </c>
      <c r="U33" s="7">
        <v>8</v>
      </c>
      <c r="V33" s="7">
        <v>8</v>
      </c>
      <c r="W33" s="153">
        <v>100</v>
      </c>
      <c r="AB33" s="148">
        <v>0</v>
      </c>
      <c r="AC33" s="7">
        <v>3</v>
      </c>
      <c r="AD33" s="153">
        <v>0</v>
      </c>
      <c r="AE33" s="6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  <c r="AW33" s="62"/>
      <c r="AX33" s="62"/>
      <c r="AY33" s="62"/>
      <c r="AZ33" s="62"/>
      <c r="BA33" s="62"/>
    </row>
    <row r="34" spans="1:53" ht="14.95" customHeight="1" thickBot="1" x14ac:dyDescent="0.3">
      <c r="A34" s="42" t="s">
        <v>648</v>
      </c>
      <c r="B34" s="77">
        <v>0</v>
      </c>
      <c r="C34" s="282">
        <v>0</v>
      </c>
      <c r="D34" s="228">
        <v>0</v>
      </c>
      <c r="E34" s="5">
        <f t="shared" si="0"/>
        <v>0</v>
      </c>
      <c r="F34" s="262" t="s">
        <v>648</v>
      </c>
      <c r="G34" s="296">
        <v>0</v>
      </c>
      <c r="H34" s="329">
        <v>0</v>
      </c>
      <c r="I34" s="263">
        <v>0</v>
      </c>
      <c r="J34" s="76">
        <f t="shared" si="1"/>
        <v>0</v>
      </c>
      <c r="K34" s="15" t="s">
        <v>219</v>
      </c>
      <c r="L34" s="40" t="s">
        <v>15</v>
      </c>
      <c r="M34" s="40" t="s">
        <v>15</v>
      </c>
      <c r="N34" s="41" t="s">
        <v>15</v>
      </c>
      <c r="O34" s="7">
        <v>31</v>
      </c>
      <c r="P34" s="7">
        <v>36</v>
      </c>
      <c r="Q34" s="153">
        <v>86.111111111111114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>
        <v>6</v>
      </c>
      <c r="AC34" s="7">
        <v>7</v>
      </c>
      <c r="AD34" s="153">
        <f t="shared" ref="AD34" si="23">SUM(AB34/AC34)*100</f>
        <v>85.714285714285708</v>
      </c>
      <c r="AE34" s="148" t="s">
        <v>15</v>
      </c>
      <c r="AF34" s="7" t="s">
        <v>15</v>
      </c>
      <c r="AG34" s="7" t="s">
        <v>15</v>
      </c>
      <c r="AH34" s="6" t="s">
        <v>15</v>
      </c>
      <c r="AI34" s="7" t="s">
        <v>15</v>
      </c>
      <c r="AJ34" s="7" t="s">
        <v>15</v>
      </c>
      <c r="AK34" s="6" t="s">
        <v>15</v>
      </c>
      <c r="AL34" s="7" t="s">
        <v>15</v>
      </c>
      <c r="AM34" s="7" t="s">
        <v>15</v>
      </c>
      <c r="AN34" s="7" t="s">
        <v>15</v>
      </c>
      <c r="AO34" s="7" t="s">
        <v>15</v>
      </c>
      <c r="AP34" s="7" t="s">
        <v>15</v>
      </c>
      <c r="AQ34" s="6" t="s">
        <v>15</v>
      </c>
      <c r="AR34" s="6" t="s">
        <v>15</v>
      </c>
      <c r="AS34" s="6" t="s">
        <v>15</v>
      </c>
      <c r="AT34" s="6" t="s">
        <v>15</v>
      </c>
      <c r="AU34" s="6" t="s">
        <v>15</v>
      </c>
      <c r="AV34" s="6" t="s">
        <v>15</v>
      </c>
      <c r="AW34" s="62"/>
      <c r="AX34" s="62"/>
      <c r="AY34" s="62"/>
      <c r="AZ34" s="62"/>
      <c r="BA34" s="62"/>
    </row>
    <row r="35" spans="1:53" ht="14.95" customHeight="1" thickBot="1" x14ac:dyDescent="0.3">
      <c r="A35" s="42" t="s">
        <v>537</v>
      </c>
      <c r="B35" s="77">
        <v>0</v>
      </c>
      <c r="C35" s="282">
        <v>0</v>
      </c>
      <c r="D35" s="228">
        <v>1</v>
      </c>
      <c r="E35" s="5">
        <f t="shared" si="0"/>
        <v>1</v>
      </c>
      <c r="F35" s="262" t="s">
        <v>537</v>
      </c>
      <c r="G35" s="296">
        <v>0</v>
      </c>
      <c r="H35" s="329">
        <v>0</v>
      </c>
      <c r="I35" s="263">
        <v>5</v>
      </c>
      <c r="J35" s="76">
        <f t="shared" si="1"/>
        <v>5</v>
      </c>
      <c r="K35" s="118" t="s">
        <v>461</v>
      </c>
      <c r="L35" s="40" t="s">
        <v>15</v>
      </c>
      <c r="M35" s="40" t="s">
        <v>15</v>
      </c>
      <c r="N35" s="41" t="s">
        <v>15</v>
      </c>
      <c r="O35" s="7" t="s">
        <v>15</v>
      </c>
      <c r="P35" s="7" t="s">
        <v>15</v>
      </c>
      <c r="Q35" s="153" t="s">
        <v>15</v>
      </c>
      <c r="R35" s="7">
        <v>0</v>
      </c>
      <c r="S35" s="7">
        <v>1</v>
      </c>
      <c r="T35" s="153">
        <v>0</v>
      </c>
      <c r="U35" s="7">
        <v>21</v>
      </c>
      <c r="V35" s="7">
        <v>23</v>
      </c>
      <c r="W35" s="153">
        <v>91.304347826086953</v>
      </c>
      <c r="AB35" s="148" t="s">
        <v>15</v>
      </c>
      <c r="AC35" s="7" t="s">
        <v>15</v>
      </c>
      <c r="AD35" s="153" t="s">
        <v>15</v>
      </c>
      <c r="AE35" s="148" t="s">
        <v>15</v>
      </c>
      <c r="AF35" s="7" t="s">
        <v>15</v>
      </c>
      <c r="AG35" s="153" t="s">
        <v>15</v>
      </c>
      <c r="AH35" s="6" t="s">
        <v>15</v>
      </c>
      <c r="AI35" s="7" t="s">
        <v>15</v>
      </c>
      <c r="AJ35" s="153" t="s">
        <v>15</v>
      </c>
      <c r="AK35" s="6" t="s">
        <v>15</v>
      </c>
      <c r="AL35" s="7" t="s">
        <v>15</v>
      </c>
      <c r="AM35" s="153" t="s">
        <v>15</v>
      </c>
      <c r="AN35" s="7" t="s">
        <v>15</v>
      </c>
      <c r="AO35" s="7" t="s">
        <v>15</v>
      </c>
      <c r="AP35" s="153" t="s">
        <v>15</v>
      </c>
      <c r="AQ35" s="7" t="s">
        <v>15</v>
      </c>
      <c r="AR35" s="7" t="s">
        <v>15</v>
      </c>
      <c r="AS35" s="153" t="s">
        <v>15</v>
      </c>
      <c r="AT35" s="7" t="s">
        <v>15</v>
      </c>
      <c r="AU35" s="7" t="s">
        <v>15</v>
      </c>
      <c r="AV35" s="153" t="s">
        <v>15</v>
      </c>
      <c r="AW35" s="62"/>
      <c r="AX35" s="62"/>
      <c r="AY35" s="62"/>
      <c r="AZ35" s="62"/>
      <c r="BA35" s="62"/>
    </row>
    <row r="36" spans="1:53" ht="14.95" customHeight="1" thickBot="1" x14ac:dyDescent="0.3">
      <c r="A36" s="42" t="s">
        <v>458</v>
      </c>
      <c r="B36" s="77">
        <v>1</v>
      </c>
      <c r="C36" s="282">
        <v>3</v>
      </c>
      <c r="D36" s="228">
        <v>0</v>
      </c>
      <c r="E36" s="5">
        <f t="shared" si="0"/>
        <v>4</v>
      </c>
      <c r="F36" s="262" t="s">
        <v>458</v>
      </c>
      <c r="G36" s="296">
        <v>5</v>
      </c>
      <c r="H36" s="329">
        <v>15</v>
      </c>
      <c r="I36" s="263">
        <v>0</v>
      </c>
      <c r="J36" s="76">
        <f t="shared" si="1"/>
        <v>20</v>
      </c>
      <c r="K36" s="15" t="s">
        <v>479</v>
      </c>
      <c r="L36" s="40">
        <v>0</v>
      </c>
      <c r="M36" s="40">
        <v>3</v>
      </c>
      <c r="N36" s="41">
        <f t="shared" ref="N36:N37" si="24">SUM(L36/M36)*100</f>
        <v>0</v>
      </c>
      <c r="O36" s="7">
        <v>3</v>
      </c>
      <c r="P36" s="7">
        <v>6</v>
      </c>
      <c r="Q36" s="153">
        <v>50</v>
      </c>
      <c r="R36" s="7">
        <v>5</v>
      </c>
      <c r="S36" s="7">
        <v>6</v>
      </c>
      <c r="T36" s="153">
        <v>83.333333333333343</v>
      </c>
      <c r="U36" s="7" t="s">
        <v>15</v>
      </c>
      <c r="V36" s="7" t="s">
        <v>15</v>
      </c>
      <c r="W36" s="153" t="s">
        <v>15</v>
      </c>
      <c r="AB36" s="148" t="s">
        <v>15</v>
      </c>
      <c r="AC36" s="7" t="s">
        <v>15</v>
      </c>
      <c r="AD36" s="153" t="s">
        <v>15</v>
      </c>
      <c r="AE36" s="148">
        <v>1</v>
      </c>
      <c r="AF36" s="7">
        <v>2</v>
      </c>
      <c r="AG36" s="7">
        <f>(AE36/AF36)*100</f>
        <v>50</v>
      </c>
      <c r="AH36" s="148">
        <v>4</v>
      </c>
      <c r="AI36" s="7">
        <v>6</v>
      </c>
      <c r="AJ36" s="153">
        <f>SUM(AH36/AI36)*100</f>
        <v>66.666666666666657</v>
      </c>
      <c r="AK36" s="148" t="s">
        <v>15</v>
      </c>
      <c r="AL36" s="7" t="s">
        <v>15</v>
      </c>
      <c r="AM36" s="7" t="s">
        <v>15</v>
      </c>
      <c r="AN36" s="148" t="s">
        <v>15</v>
      </c>
      <c r="AO36" s="7" t="s">
        <v>15</v>
      </c>
      <c r="AP36" s="7" t="s">
        <v>15</v>
      </c>
      <c r="AQ36" s="148" t="s">
        <v>15</v>
      </c>
      <c r="AR36" s="7" t="s">
        <v>15</v>
      </c>
      <c r="AS36" s="7" t="s">
        <v>15</v>
      </c>
      <c r="AT36" s="6" t="s">
        <v>15</v>
      </c>
      <c r="AU36" s="7" t="s">
        <v>15</v>
      </c>
      <c r="AV36" s="7" t="s">
        <v>15</v>
      </c>
      <c r="AW36" s="62"/>
      <c r="AX36" s="62"/>
      <c r="AY36" s="62"/>
      <c r="AZ36" s="62"/>
      <c r="BA36" s="62"/>
    </row>
    <row r="37" spans="1:53" ht="14.95" customHeight="1" thickBot="1" x14ac:dyDescent="0.3">
      <c r="A37" s="42" t="s">
        <v>479</v>
      </c>
      <c r="B37" s="77">
        <v>2</v>
      </c>
      <c r="C37" s="282">
        <v>1</v>
      </c>
      <c r="D37" s="228">
        <v>0</v>
      </c>
      <c r="E37" s="5">
        <f t="shared" si="0"/>
        <v>3</v>
      </c>
      <c r="F37" s="262" t="s">
        <v>479</v>
      </c>
      <c r="G37" s="296">
        <v>10</v>
      </c>
      <c r="H37" s="329">
        <v>5</v>
      </c>
      <c r="I37" s="263">
        <v>0</v>
      </c>
      <c r="J37" s="76">
        <f t="shared" si="1"/>
        <v>15</v>
      </c>
      <c r="K37" s="15" t="s">
        <v>16</v>
      </c>
      <c r="L37" s="40">
        <v>3</v>
      </c>
      <c r="M37" s="40">
        <v>5</v>
      </c>
      <c r="N37" s="41">
        <f t="shared" si="24"/>
        <v>60</v>
      </c>
      <c r="O37" s="7" t="s">
        <v>15</v>
      </c>
      <c r="P37" s="7" t="s">
        <v>15</v>
      </c>
      <c r="Q37" s="153" t="s">
        <v>15</v>
      </c>
      <c r="R37" s="7">
        <v>14</v>
      </c>
      <c r="S37" s="7">
        <v>18</v>
      </c>
      <c r="T37" s="153">
        <v>77.777777777777786</v>
      </c>
      <c r="U37" s="7" t="s">
        <v>15</v>
      </c>
      <c r="V37" s="7" t="s">
        <v>15</v>
      </c>
      <c r="W37" s="153" t="s">
        <v>15</v>
      </c>
      <c r="AB37" s="148" t="s">
        <v>15</v>
      </c>
      <c r="AC37" s="7" t="s">
        <v>15</v>
      </c>
      <c r="AD37" s="153" t="s">
        <v>15</v>
      </c>
      <c r="AE37" s="148" t="s">
        <v>15</v>
      </c>
      <c r="AF37" s="7" t="s">
        <v>15</v>
      </c>
      <c r="AG37" s="7" t="s">
        <v>15</v>
      </c>
      <c r="AH37" s="148" t="s">
        <v>15</v>
      </c>
      <c r="AI37" s="7" t="s">
        <v>15</v>
      </c>
      <c r="AJ37" s="7" t="s">
        <v>15</v>
      </c>
      <c r="AK37" s="148" t="s">
        <v>15</v>
      </c>
      <c r="AL37" s="7" t="s">
        <v>15</v>
      </c>
      <c r="AM37" s="7" t="s">
        <v>15</v>
      </c>
      <c r="AN37" s="148" t="s">
        <v>15</v>
      </c>
      <c r="AO37" s="7" t="s">
        <v>15</v>
      </c>
      <c r="AP37" s="7" t="s">
        <v>15</v>
      </c>
      <c r="AQ37" s="148" t="s">
        <v>15</v>
      </c>
      <c r="AR37" s="7" t="s">
        <v>15</v>
      </c>
      <c r="AS37" s="7" t="s">
        <v>15</v>
      </c>
      <c r="AT37" s="6">
        <v>6</v>
      </c>
      <c r="AU37" s="7">
        <v>14</v>
      </c>
      <c r="AV37" s="153">
        <f>SUM(AT37/AU37)*100</f>
        <v>42.857142857142854</v>
      </c>
      <c r="AW37" s="62"/>
      <c r="AX37" s="62"/>
      <c r="AY37" s="62"/>
      <c r="AZ37" s="4"/>
      <c r="BA37" s="4"/>
    </row>
    <row r="38" spans="1:53" ht="14.95" customHeight="1" thickBot="1" x14ac:dyDescent="0.3">
      <c r="A38" s="42" t="s">
        <v>16</v>
      </c>
      <c r="B38" s="77">
        <v>6</v>
      </c>
      <c r="C38" s="282">
        <v>1</v>
      </c>
      <c r="D38" s="228">
        <v>0</v>
      </c>
      <c r="E38" s="5">
        <f t="shared" si="0"/>
        <v>7</v>
      </c>
      <c r="F38" s="262" t="s">
        <v>16</v>
      </c>
      <c r="G38" s="296">
        <v>112</v>
      </c>
      <c r="H38" s="329">
        <v>33</v>
      </c>
      <c r="I38" s="263">
        <v>8</v>
      </c>
      <c r="J38" s="76">
        <f t="shared" si="1"/>
        <v>153</v>
      </c>
      <c r="K38" s="519" t="s">
        <v>849</v>
      </c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464"/>
      <c r="Y38" s="464"/>
      <c r="AN38" s="4"/>
      <c r="AO38" s="4"/>
      <c r="AP38" s="4"/>
      <c r="AQ38" s="4"/>
      <c r="AR38" s="4"/>
    </row>
    <row r="39" spans="1:53" ht="14.95" customHeight="1" thickBot="1" x14ac:dyDescent="0.3">
      <c r="A39" s="42" t="s">
        <v>913</v>
      </c>
      <c r="B39" s="77">
        <v>0</v>
      </c>
      <c r="C39" s="282">
        <v>2</v>
      </c>
      <c r="D39" s="228">
        <v>0</v>
      </c>
      <c r="E39" s="5">
        <f t="shared" si="0"/>
        <v>2</v>
      </c>
      <c r="F39" s="262" t="s">
        <v>913</v>
      </c>
      <c r="G39" s="296">
        <v>0</v>
      </c>
      <c r="H39" s="329">
        <v>10</v>
      </c>
      <c r="I39" s="263">
        <v>0</v>
      </c>
      <c r="J39" s="76">
        <f t="shared" si="1"/>
        <v>10</v>
      </c>
      <c r="K39" s="471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N39" s="4"/>
      <c r="AO39" s="4"/>
      <c r="AP39" s="4"/>
    </row>
    <row r="40" spans="1:53" ht="14.95" customHeight="1" thickBot="1" x14ac:dyDescent="0.3">
      <c r="A40" s="42" t="s">
        <v>418</v>
      </c>
      <c r="B40" s="77">
        <v>0</v>
      </c>
      <c r="C40" s="282">
        <v>0</v>
      </c>
      <c r="D40" s="228">
        <v>0</v>
      </c>
      <c r="E40" s="5">
        <f t="shared" si="0"/>
        <v>0</v>
      </c>
      <c r="F40" s="262" t="s">
        <v>418</v>
      </c>
      <c r="G40" s="296">
        <v>0</v>
      </c>
      <c r="H40" s="329">
        <v>0</v>
      </c>
      <c r="I40" s="263">
        <v>0</v>
      </c>
      <c r="J40" s="76">
        <f t="shared" si="1"/>
        <v>0</v>
      </c>
      <c r="K40" s="471"/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AN40" s="4"/>
      <c r="AO40" s="4"/>
      <c r="AP40" s="4"/>
    </row>
    <row r="41" spans="1:53" ht="14.95" customHeight="1" thickBot="1" x14ac:dyDescent="0.3">
      <c r="A41" s="42" t="s">
        <v>844</v>
      </c>
      <c r="B41" s="77">
        <v>0</v>
      </c>
      <c r="C41" s="282">
        <v>0</v>
      </c>
      <c r="D41" s="228">
        <v>0</v>
      </c>
      <c r="E41" s="5">
        <f t="shared" si="0"/>
        <v>0</v>
      </c>
      <c r="F41" s="262" t="s">
        <v>844</v>
      </c>
      <c r="G41" s="296">
        <v>0</v>
      </c>
      <c r="H41" s="329">
        <v>0</v>
      </c>
      <c r="I41" s="263">
        <v>0</v>
      </c>
      <c r="J41" s="76">
        <f t="shared" si="1"/>
        <v>0</v>
      </c>
      <c r="Z41" t="s">
        <v>21</v>
      </c>
      <c r="AB41" t="s">
        <v>21</v>
      </c>
    </row>
    <row r="42" spans="1:53" ht="14.95" customHeight="1" thickBot="1" x14ac:dyDescent="0.3">
      <c r="A42" s="42" t="s">
        <v>349</v>
      </c>
      <c r="B42" s="77">
        <v>0</v>
      </c>
      <c r="C42" s="282">
        <v>1</v>
      </c>
      <c r="D42" s="228">
        <v>1</v>
      </c>
      <c r="E42" s="5">
        <f t="shared" si="0"/>
        <v>2</v>
      </c>
      <c r="F42" s="262" t="s">
        <v>349</v>
      </c>
      <c r="G42" s="296">
        <v>0</v>
      </c>
      <c r="H42" s="329">
        <v>5</v>
      </c>
      <c r="I42" s="263">
        <v>5</v>
      </c>
      <c r="J42" s="76">
        <f t="shared" si="1"/>
        <v>10</v>
      </c>
    </row>
    <row r="43" spans="1:53" ht="14.95" customHeight="1" thickBot="1" x14ac:dyDescent="0.3">
      <c r="A43" s="42" t="s">
        <v>912</v>
      </c>
      <c r="B43" s="77">
        <v>2</v>
      </c>
      <c r="C43" s="282">
        <v>0</v>
      </c>
      <c r="D43" s="228">
        <v>1</v>
      </c>
      <c r="E43" s="5">
        <f t="shared" si="0"/>
        <v>3</v>
      </c>
      <c r="F43" s="262" t="s">
        <v>912</v>
      </c>
      <c r="G43" s="296">
        <v>10</v>
      </c>
      <c r="H43" s="329">
        <v>0</v>
      </c>
      <c r="I43" s="263">
        <v>5</v>
      </c>
      <c r="J43" s="76">
        <f t="shared" si="1"/>
        <v>15</v>
      </c>
      <c r="AQ43" s="4"/>
      <c r="AR43" s="4"/>
    </row>
    <row r="44" spans="1:53" ht="14.95" customHeight="1" thickBot="1" x14ac:dyDescent="0.3">
      <c r="A44" s="42" t="s">
        <v>501</v>
      </c>
      <c r="B44" s="77">
        <v>3</v>
      </c>
      <c r="C44" s="282">
        <v>0</v>
      </c>
      <c r="D44" s="228">
        <v>0</v>
      </c>
      <c r="E44" s="5">
        <f t="shared" si="0"/>
        <v>3</v>
      </c>
      <c r="F44" s="262" t="s">
        <v>501</v>
      </c>
      <c r="G44" s="296">
        <v>15</v>
      </c>
      <c r="H44" s="329">
        <v>0</v>
      </c>
      <c r="I44" s="263">
        <v>0</v>
      </c>
      <c r="J44" s="76">
        <f t="shared" si="1"/>
        <v>15</v>
      </c>
    </row>
    <row r="45" spans="1:53" ht="14.95" customHeight="1" thickBot="1" x14ac:dyDescent="0.3">
      <c r="A45" s="42" t="s">
        <v>560</v>
      </c>
      <c r="B45" s="77">
        <v>0</v>
      </c>
      <c r="C45" s="282">
        <v>0</v>
      </c>
      <c r="D45" s="228">
        <v>0</v>
      </c>
      <c r="E45" s="5">
        <f t="shared" si="0"/>
        <v>0</v>
      </c>
      <c r="F45" s="262" t="s">
        <v>560</v>
      </c>
      <c r="G45" s="296">
        <v>0</v>
      </c>
      <c r="H45" s="329">
        <v>0</v>
      </c>
      <c r="I45" s="263">
        <v>0</v>
      </c>
      <c r="J45" s="76">
        <f t="shared" si="1"/>
        <v>0</v>
      </c>
      <c r="AN45" s="4"/>
      <c r="AO45" s="4"/>
      <c r="AP45" s="4"/>
    </row>
    <row r="46" spans="1:53" ht="14.95" customHeight="1" thickBot="1" x14ac:dyDescent="0.3">
      <c r="A46" s="42" t="s">
        <v>23</v>
      </c>
      <c r="B46" s="77">
        <v>2</v>
      </c>
      <c r="C46" s="282">
        <v>0</v>
      </c>
      <c r="D46" s="228">
        <v>0</v>
      </c>
      <c r="E46" s="5">
        <f t="shared" si="0"/>
        <v>2</v>
      </c>
      <c r="F46" s="262" t="s">
        <v>23</v>
      </c>
      <c r="G46" s="296">
        <v>10</v>
      </c>
      <c r="H46" s="329">
        <v>0</v>
      </c>
      <c r="I46" s="263">
        <v>0</v>
      </c>
      <c r="J46" s="76">
        <f t="shared" si="1"/>
        <v>10</v>
      </c>
    </row>
    <row r="47" spans="1:53" ht="14.95" customHeight="1" thickBot="1" x14ac:dyDescent="0.3">
      <c r="A47" s="42" t="s">
        <v>176</v>
      </c>
      <c r="B47" s="77">
        <v>0</v>
      </c>
      <c r="C47" s="282">
        <v>0</v>
      </c>
      <c r="D47" s="228">
        <v>0</v>
      </c>
      <c r="E47" s="5">
        <f t="shared" si="0"/>
        <v>0</v>
      </c>
      <c r="F47" s="262" t="s">
        <v>176</v>
      </c>
      <c r="G47" s="296">
        <v>0</v>
      </c>
      <c r="H47" s="329">
        <v>0</v>
      </c>
      <c r="I47" s="263">
        <v>0</v>
      </c>
      <c r="J47" s="76">
        <f t="shared" si="1"/>
        <v>0</v>
      </c>
      <c r="AQ47" s="4"/>
      <c r="AR47" s="4"/>
    </row>
    <row r="48" spans="1:53" ht="14.95" thickBot="1" x14ac:dyDescent="0.3">
      <c r="A48" s="42" t="s">
        <v>28</v>
      </c>
      <c r="B48" s="77">
        <v>2</v>
      </c>
      <c r="C48" s="282">
        <v>0</v>
      </c>
      <c r="D48" s="228">
        <v>0</v>
      </c>
      <c r="E48" s="5">
        <f t="shared" si="0"/>
        <v>2</v>
      </c>
      <c r="F48" s="262" t="s">
        <v>28</v>
      </c>
      <c r="G48" s="296">
        <v>10</v>
      </c>
      <c r="H48" s="329">
        <v>0</v>
      </c>
      <c r="I48" s="263">
        <v>0</v>
      </c>
      <c r="J48" s="76">
        <f t="shared" si="1"/>
        <v>10</v>
      </c>
      <c r="AQ48" s="4"/>
      <c r="AR48" s="4"/>
    </row>
    <row r="49" spans="1:44" ht="14.95" thickBot="1" x14ac:dyDescent="0.3">
      <c r="A49" s="42" t="s">
        <v>3</v>
      </c>
      <c r="B49" s="77">
        <f>SUM(B3:B48)</f>
        <v>37</v>
      </c>
      <c r="C49" s="282">
        <f>SUM(C3:C48)</f>
        <v>18</v>
      </c>
      <c r="D49" s="228">
        <f>SUM(D3:D48)</f>
        <v>9</v>
      </c>
      <c r="E49" s="5">
        <f>SUM(E3:E48)</f>
        <v>64</v>
      </c>
      <c r="F49" s="262" t="s">
        <v>3</v>
      </c>
      <c r="G49" s="296">
        <f>SUM(G3:G48)</f>
        <v>269</v>
      </c>
      <c r="H49" s="329">
        <f>SUM(H3:H48)</f>
        <v>129</v>
      </c>
      <c r="I49" s="263">
        <f>SUM(I3:I48)</f>
        <v>63</v>
      </c>
      <c r="J49" s="76">
        <f>SUM(J3:J48)</f>
        <v>461</v>
      </c>
      <c r="AN49" s="4"/>
      <c r="AO49" s="4"/>
      <c r="AP49" s="4"/>
    </row>
    <row r="50" spans="1:44" ht="16.3" x14ac:dyDescent="0.25">
      <c r="A50" s="477"/>
      <c r="B50" s="478"/>
      <c r="C50" s="478"/>
      <c r="D50" s="478"/>
      <c r="E50" s="478"/>
      <c r="F50" s="478"/>
      <c r="G50" s="478"/>
      <c r="H50" s="478"/>
      <c r="I50" s="38"/>
      <c r="J50" s="39"/>
      <c r="AN50" s="4"/>
      <c r="AO50" s="4"/>
      <c r="AP50" s="4"/>
      <c r="AQ50" s="4"/>
      <c r="AR50" s="4"/>
    </row>
    <row r="51" spans="1:44" ht="14.95" thickBot="1" x14ac:dyDescent="0.3">
      <c r="A51" t="s">
        <v>12</v>
      </c>
      <c r="B51" s="132"/>
      <c r="F51" s="71"/>
      <c r="G51" s="133"/>
      <c r="H51" s="71"/>
      <c r="I51" s="71"/>
      <c r="J51" s="71"/>
    </row>
    <row r="52" spans="1:44" ht="14.95" thickBot="1" x14ac:dyDescent="0.3">
      <c r="A52" s="106" t="s">
        <v>0</v>
      </c>
      <c r="B52" s="114" t="s">
        <v>226</v>
      </c>
      <c r="C52" s="281" t="s">
        <v>31</v>
      </c>
      <c r="D52" s="227" t="s">
        <v>339</v>
      </c>
      <c r="E52" s="107" t="s">
        <v>1</v>
      </c>
      <c r="F52" s="260" t="s">
        <v>2</v>
      </c>
      <c r="G52" s="295" t="s">
        <v>226</v>
      </c>
      <c r="H52" s="328" t="s">
        <v>31</v>
      </c>
      <c r="I52" s="261" t="s">
        <v>339</v>
      </c>
      <c r="J52" s="105" t="s">
        <v>1</v>
      </c>
    </row>
    <row r="53" spans="1:44" ht="14.95" thickBot="1" x14ac:dyDescent="0.3">
      <c r="A53" s="42" t="s">
        <v>471</v>
      </c>
      <c r="B53" s="77">
        <v>8</v>
      </c>
      <c r="C53" s="282">
        <v>1</v>
      </c>
      <c r="D53" s="228">
        <v>0</v>
      </c>
      <c r="E53" s="5">
        <f t="shared" ref="E53:E98" si="25">SUM(B53:D53)</f>
        <v>9</v>
      </c>
      <c r="F53" s="262" t="s">
        <v>16</v>
      </c>
      <c r="G53" s="296">
        <v>112</v>
      </c>
      <c r="H53" s="329">
        <v>33</v>
      </c>
      <c r="I53" s="263">
        <v>8</v>
      </c>
      <c r="J53" s="76">
        <f t="shared" ref="J53:J98" si="26">SUM(G53:I53)</f>
        <v>153</v>
      </c>
    </row>
    <row r="54" spans="1:44" ht="14.95" thickBot="1" x14ac:dyDescent="0.3">
      <c r="A54" s="42" t="s">
        <v>16</v>
      </c>
      <c r="B54" s="77">
        <v>6</v>
      </c>
      <c r="C54" s="282">
        <v>1</v>
      </c>
      <c r="D54" s="228">
        <v>0</v>
      </c>
      <c r="E54" s="5">
        <f t="shared" si="25"/>
        <v>7</v>
      </c>
      <c r="F54" s="262" t="s">
        <v>471</v>
      </c>
      <c r="G54" s="296">
        <v>40</v>
      </c>
      <c r="H54" s="329">
        <v>5</v>
      </c>
      <c r="I54" s="263">
        <v>0</v>
      </c>
      <c r="J54" s="76">
        <f t="shared" si="26"/>
        <v>45</v>
      </c>
    </row>
    <row r="55" spans="1:44" ht="14.95" thickBot="1" x14ac:dyDescent="0.3">
      <c r="A55" s="42" t="s">
        <v>498</v>
      </c>
      <c r="B55" s="77">
        <v>5</v>
      </c>
      <c r="C55" s="282">
        <v>1</v>
      </c>
      <c r="D55" s="228">
        <v>0</v>
      </c>
      <c r="E55" s="5">
        <f t="shared" si="25"/>
        <v>6</v>
      </c>
      <c r="F55" s="262" t="s">
        <v>498</v>
      </c>
      <c r="G55" s="296">
        <v>25</v>
      </c>
      <c r="H55" s="329">
        <v>5</v>
      </c>
      <c r="I55" s="263">
        <v>0</v>
      </c>
      <c r="J55" s="76">
        <f t="shared" si="26"/>
        <v>30</v>
      </c>
    </row>
    <row r="56" spans="1:44" ht="14.95" thickBot="1" x14ac:dyDescent="0.3">
      <c r="A56" s="42" t="s">
        <v>915</v>
      </c>
      <c r="B56" s="77">
        <v>3</v>
      </c>
      <c r="C56" s="282">
        <v>1</v>
      </c>
      <c r="D56" s="228">
        <v>1</v>
      </c>
      <c r="E56" s="5">
        <f t="shared" si="25"/>
        <v>5</v>
      </c>
      <c r="F56" s="262" t="s">
        <v>915</v>
      </c>
      <c r="G56" s="296">
        <v>15</v>
      </c>
      <c r="H56" s="329">
        <v>5</v>
      </c>
      <c r="I56" s="263">
        <v>5</v>
      </c>
      <c r="J56" s="76">
        <f t="shared" si="26"/>
        <v>25</v>
      </c>
    </row>
    <row r="57" spans="1:44" ht="14.95" thickBot="1" x14ac:dyDescent="0.3">
      <c r="A57" s="42" t="s">
        <v>458</v>
      </c>
      <c r="B57" s="77">
        <v>1</v>
      </c>
      <c r="C57" s="282">
        <v>3</v>
      </c>
      <c r="D57" s="228">
        <v>0</v>
      </c>
      <c r="E57" s="5">
        <f t="shared" si="25"/>
        <v>4</v>
      </c>
      <c r="F57" s="262" t="s">
        <v>458</v>
      </c>
      <c r="G57" s="296">
        <v>5</v>
      </c>
      <c r="H57" s="329">
        <v>15</v>
      </c>
      <c r="I57" s="263">
        <v>0</v>
      </c>
      <c r="J57" s="76">
        <f t="shared" si="26"/>
        <v>20</v>
      </c>
    </row>
    <row r="58" spans="1:44" ht="14.95" thickBot="1" x14ac:dyDescent="0.3">
      <c r="A58" s="42" t="s">
        <v>789</v>
      </c>
      <c r="B58" s="77">
        <v>1</v>
      </c>
      <c r="C58" s="282">
        <v>2</v>
      </c>
      <c r="D58" s="228">
        <v>0</v>
      </c>
      <c r="E58" s="5">
        <f t="shared" si="25"/>
        <v>3</v>
      </c>
      <c r="F58" s="262" t="s">
        <v>789</v>
      </c>
      <c r="G58" s="296">
        <v>5</v>
      </c>
      <c r="H58" s="329">
        <v>10</v>
      </c>
      <c r="I58" s="263">
        <v>0</v>
      </c>
      <c r="J58" s="76">
        <f t="shared" si="26"/>
        <v>15</v>
      </c>
    </row>
    <row r="59" spans="1:44" ht="14.95" thickBot="1" x14ac:dyDescent="0.3">
      <c r="A59" s="42" t="s">
        <v>479</v>
      </c>
      <c r="B59" s="77">
        <v>2</v>
      </c>
      <c r="C59" s="282">
        <v>1</v>
      </c>
      <c r="D59" s="228">
        <v>0</v>
      </c>
      <c r="E59" s="5">
        <f t="shared" si="25"/>
        <v>3</v>
      </c>
      <c r="F59" s="262" t="s">
        <v>479</v>
      </c>
      <c r="G59" s="296">
        <v>10</v>
      </c>
      <c r="H59" s="329">
        <v>5</v>
      </c>
      <c r="I59" s="263">
        <v>0</v>
      </c>
      <c r="J59" s="76">
        <f t="shared" si="26"/>
        <v>15</v>
      </c>
    </row>
    <row r="60" spans="1:44" ht="14.95" thickBot="1" x14ac:dyDescent="0.3">
      <c r="A60" s="42" t="s">
        <v>912</v>
      </c>
      <c r="B60" s="77">
        <v>2</v>
      </c>
      <c r="C60" s="282">
        <v>0</v>
      </c>
      <c r="D60" s="228">
        <v>1</v>
      </c>
      <c r="E60" s="5">
        <f t="shared" si="25"/>
        <v>3</v>
      </c>
      <c r="F60" s="262" t="s">
        <v>912</v>
      </c>
      <c r="G60" s="296">
        <v>10</v>
      </c>
      <c r="H60" s="329">
        <v>0</v>
      </c>
      <c r="I60" s="263">
        <v>5</v>
      </c>
      <c r="J60" s="76">
        <f t="shared" si="26"/>
        <v>15</v>
      </c>
    </row>
    <row r="61" spans="1:44" ht="14.95" thickBot="1" x14ac:dyDescent="0.3">
      <c r="A61" s="42" t="s">
        <v>501</v>
      </c>
      <c r="B61" s="77">
        <v>3</v>
      </c>
      <c r="C61" s="282">
        <v>0</v>
      </c>
      <c r="D61" s="228">
        <v>0</v>
      </c>
      <c r="E61" s="5">
        <f t="shared" si="25"/>
        <v>3</v>
      </c>
      <c r="F61" s="262" t="s">
        <v>501</v>
      </c>
      <c r="G61" s="296">
        <v>15</v>
      </c>
      <c r="H61" s="329">
        <v>0</v>
      </c>
      <c r="I61" s="263">
        <v>0</v>
      </c>
      <c r="J61" s="76">
        <f t="shared" si="26"/>
        <v>15</v>
      </c>
    </row>
    <row r="62" spans="1:44" ht="14.95" thickBot="1" x14ac:dyDescent="0.3">
      <c r="A62" s="42" t="s">
        <v>381</v>
      </c>
      <c r="B62" s="77">
        <v>0</v>
      </c>
      <c r="C62" s="282">
        <v>1</v>
      </c>
      <c r="D62" s="228">
        <v>1</v>
      </c>
      <c r="E62" s="5">
        <f t="shared" si="25"/>
        <v>2</v>
      </c>
      <c r="F62" s="262" t="s">
        <v>1065</v>
      </c>
      <c r="G62" s="296">
        <v>0</v>
      </c>
      <c r="H62" s="329">
        <v>11</v>
      </c>
      <c r="I62" s="263">
        <v>3</v>
      </c>
      <c r="J62" s="76">
        <f t="shared" si="26"/>
        <v>14</v>
      </c>
    </row>
    <row r="63" spans="1:44" ht="14.95" thickBot="1" x14ac:dyDescent="0.3">
      <c r="A63" s="42" t="s">
        <v>1082</v>
      </c>
      <c r="B63" s="77">
        <v>1</v>
      </c>
      <c r="C63" s="282">
        <v>0</v>
      </c>
      <c r="D63" s="228">
        <v>1</v>
      </c>
      <c r="E63" s="5">
        <f t="shared" si="25"/>
        <v>2</v>
      </c>
      <c r="F63" s="262" t="s">
        <v>381</v>
      </c>
      <c r="G63" s="296">
        <v>0</v>
      </c>
      <c r="H63" s="329">
        <v>5</v>
      </c>
      <c r="I63" s="263">
        <v>5</v>
      </c>
      <c r="J63" s="76">
        <f t="shared" si="26"/>
        <v>10</v>
      </c>
    </row>
    <row r="64" spans="1:44" ht="14.95" thickBot="1" x14ac:dyDescent="0.3">
      <c r="A64" s="42" t="s">
        <v>913</v>
      </c>
      <c r="B64" s="77">
        <v>0</v>
      </c>
      <c r="C64" s="282">
        <v>2</v>
      </c>
      <c r="D64" s="228">
        <v>0</v>
      </c>
      <c r="E64" s="5">
        <f t="shared" si="25"/>
        <v>2</v>
      </c>
      <c r="F64" s="262" t="s">
        <v>1082</v>
      </c>
      <c r="G64" s="296">
        <v>5</v>
      </c>
      <c r="H64" s="329">
        <v>0</v>
      </c>
      <c r="I64" s="263">
        <v>5</v>
      </c>
      <c r="J64" s="76">
        <f t="shared" si="26"/>
        <v>10</v>
      </c>
    </row>
    <row r="65" spans="1:10" ht="14.95" thickBot="1" x14ac:dyDescent="0.3">
      <c r="A65" s="42" t="s">
        <v>349</v>
      </c>
      <c r="B65" s="77">
        <v>0</v>
      </c>
      <c r="C65" s="282">
        <v>1</v>
      </c>
      <c r="D65" s="228">
        <v>1</v>
      </c>
      <c r="E65" s="5">
        <f t="shared" si="25"/>
        <v>2</v>
      </c>
      <c r="F65" s="262" t="s">
        <v>913</v>
      </c>
      <c r="G65" s="296">
        <v>0</v>
      </c>
      <c r="H65" s="329">
        <v>10</v>
      </c>
      <c r="I65" s="263">
        <v>0</v>
      </c>
      <c r="J65" s="76">
        <f t="shared" si="26"/>
        <v>10</v>
      </c>
    </row>
    <row r="66" spans="1:10" ht="14.95" thickBot="1" x14ac:dyDescent="0.3">
      <c r="A66" s="42" t="s">
        <v>23</v>
      </c>
      <c r="B66" s="77">
        <v>2</v>
      </c>
      <c r="C66" s="282">
        <v>0</v>
      </c>
      <c r="D66" s="228">
        <v>0</v>
      </c>
      <c r="E66" s="5">
        <f t="shared" si="25"/>
        <v>2</v>
      </c>
      <c r="F66" s="262" t="s">
        <v>349</v>
      </c>
      <c r="G66" s="296">
        <v>0</v>
      </c>
      <c r="H66" s="329">
        <v>5</v>
      </c>
      <c r="I66" s="263">
        <v>5</v>
      </c>
      <c r="J66" s="76">
        <f t="shared" si="26"/>
        <v>10</v>
      </c>
    </row>
    <row r="67" spans="1:10" ht="14.95" thickBot="1" x14ac:dyDescent="0.3">
      <c r="A67" s="42" t="s">
        <v>28</v>
      </c>
      <c r="B67" s="77">
        <v>2</v>
      </c>
      <c r="C67" s="282">
        <v>0</v>
      </c>
      <c r="D67" s="228">
        <v>0</v>
      </c>
      <c r="E67" s="5">
        <f t="shared" si="25"/>
        <v>2</v>
      </c>
      <c r="F67" s="262" t="s">
        <v>23</v>
      </c>
      <c r="G67" s="296">
        <v>10</v>
      </c>
      <c r="H67" s="329">
        <v>0</v>
      </c>
      <c r="I67" s="263">
        <v>0</v>
      </c>
      <c r="J67" s="76">
        <f t="shared" si="26"/>
        <v>10</v>
      </c>
    </row>
    <row r="68" spans="1:10" ht="14.95" thickBot="1" x14ac:dyDescent="0.3">
      <c r="A68" s="42" t="s">
        <v>1081</v>
      </c>
      <c r="B68" s="77">
        <v>0</v>
      </c>
      <c r="C68" s="282">
        <v>0</v>
      </c>
      <c r="D68" s="228">
        <v>1</v>
      </c>
      <c r="E68" s="5">
        <f t="shared" si="25"/>
        <v>1</v>
      </c>
      <c r="F68" s="262" t="s">
        <v>28</v>
      </c>
      <c r="G68" s="296">
        <v>10</v>
      </c>
      <c r="H68" s="329">
        <v>0</v>
      </c>
      <c r="I68" s="263">
        <v>0</v>
      </c>
      <c r="J68" s="76">
        <f t="shared" si="26"/>
        <v>10</v>
      </c>
    </row>
    <row r="69" spans="1:10" ht="14.95" thickBot="1" x14ac:dyDescent="0.3">
      <c r="A69" s="42" t="s">
        <v>499</v>
      </c>
      <c r="B69" s="77">
        <v>1</v>
      </c>
      <c r="C69" s="282">
        <v>0</v>
      </c>
      <c r="D69" s="228">
        <v>0</v>
      </c>
      <c r="E69" s="5">
        <f t="shared" si="25"/>
        <v>1</v>
      </c>
      <c r="F69" s="262" t="s">
        <v>500</v>
      </c>
      <c r="G69" s="296">
        <v>0</v>
      </c>
      <c r="H69" s="329">
        <v>0</v>
      </c>
      <c r="I69" s="263">
        <v>7</v>
      </c>
      <c r="J69" s="76">
        <f t="shared" si="26"/>
        <v>7</v>
      </c>
    </row>
    <row r="70" spans="1:10" ht="14.95" thickBot="1" x14ac:dyDescent="0.3">
      <c r="A70" s="42" t="s">
        <v>1101</v>
      </c>
      <c r="B70" s="77">
        <v>0</v>
      </c>
      <c r="C70" s="282">
        <v>1</v>
      </c>
      <c r="D70" s="228">
        <v>0</v>
      </c>
      <c r="E70" s="5">
        <f t="shared" si="25"/>
        <v>1</v>
      </c>
      <c r="F70" s="262" t="s">
        <v>1081</v>
      </c>
      <c r="G70" s="296">
        <v>0</v>
      </c>
      <c r="H70" s="329">
        <v>0</v>
      </c>
      <c r="I70" s="263">
        <v>5</v>
      </c>
      <c r="J70" s="76">
        <f t="shared" si="26"/>
        <v>5</v>
      </c>
    </row>
    <row r="71" spans="1:10" ht="14.95" thickBot="1" x14ac:dyDescent="0.3">
      <c r="A71" s="42" t="s">
        <v>911</v>
      </c>
      <c r="B71" s="77">
        <v>0</v>
      </c>
      <c r="C71" s="282">
        <v>1</v>
      </c>
      <c r="D71" s="228">
        <v>0</v>
      </c>
      <c r="E71" s="5">
        <f t="shared" si="25"/>
        <v>1</v>
      </c>
      <c r="F71" s="262" t="s">
        <v>499</v>
      </c>
      <c r="G71" s="296">
        <v>5</v>
      </c>
      <c r="H71" s="329">
        <v>0</v>
      </c>
      <c r="I71" s="263">
        <v>0</v>
      </c>
      <c r="J71" s="76">
        <f t="shared" si="26"/>
        <v>5</v>
      </c>
    </row>
    <row r="72" spans="1:10" ht="14.95" thickBot="1" x14ac:dyDescent="0.3">
      <c r="A72" s="42" t="s">
        <v>271</v>
      </c>
      <c r="B72" s="77">
        <v>0</v>
      </c>
      <c r="C72" s="282">
        <v>1</v>
      </c>
      <c r="D72" s="228">
        <v>0</v>
      </c>
      <c r="E72" s="5">
        <f t="shared" si="25"/>
        <v>1</v>
      </c>
      <c r="F72" s="262" t="s">
        <v>1101</v>
      </c>
      <c r="G72" s="296">
        <v>0</v>
      </c>
      <c r="H72" s="329">
        <v>5</v>
      </c>
      <c r="I72" s="263">
        <v>0</v>
      </c>
      <c r="J72" s="76">
        <f t="shared" si="26"/>
        <v>5</v>
      </c>
    </row>
    <row r="73" spans="1:10" ht="14.95" thickBot="1" x14ac:dyDescent="0.3">
      <c r="A73" s="42" t="s">
        <v>588</v>
      </c>
      <c r="B73" s="77">
        <v>0</v>
      </c>
      <c r="C73" s="282">
        <v>0</v>
      </c>
      <c r="D73" s="228">
        <v>1</v>
      </c>
      <c r="E73" s="5">
        <f t="shared" si="25"/>
        <v>1</v>
      </c>
      <c r="F73" s="262" t="s">
        <v>911</v>
      </c>
      <c r="G73" s="296">
        <v>0</v>
      </c>
      <c r="H73" s="329">
        <v>5</v>
      </c>
      <c r="I73" s="263">
        <v>0</v>
      </c>
      <c r="J73" s="76">
        <f t="shared" si="26"/>
        <v>5</v>
      </c>
    </row>
    <row r="74" spans="1:10" ht="14.95" thickBot="1" x14ac:dyDescent="0.3">
      <c r="A74" s="42" t="s">
        <v>898</v>
      </c>
      <c r="B74" s="77">
        <v>0</v>
      </c>
      <c r="C74" s="282">
        <v>1</v>
      </c>
      <c r="D74" s="228">
        <v>0</v>
      </c>
      <c r="E74" s="5">
        <f t="shared" si="25"/>
        <v>1</v>
      </c>
      <c r="F74" s="262" t="s">
        <v>271</v>
      </c>
      <c r="G74" s="296">
        <v>0</v>
      </c>
      <c r="H74" s="329">
        <v>5</v>
      </c>
      <c r="I74" s="263">
        <v>0</v>
      </c>
      <c r="J74" s="76">
        <f t="shared" si="26"/>
        <v>5</v>
      </c>
    </row>
    <row r="75" spans="1:10" ht="14.95" thickBot="1" x14ac:dyDescent="0.3">
      <c r="A75" s="42" t="s">
        <v>652</v>
      </c>
      <c r="B75" s="77">
        <v>0</v>
      </c>
      <c r="C75" s="282">
        <v>0</v>
      </c>
      <c r="D75" s="228">
        <v>1</v>
      </c>
      <c r="E75" s="5">
        <f t="shared" si="25"/>
        <v>1</v>
      </c>
      <c r="F75" s="262" t="s">
        <v>588</v>
      </c>
      <c r="G75" s="296">
        <v>0</v>
      </c>
      <c r="H75" s="329">
        <v>0</v>
      </c>
      <c r="I75" s="263">
        <v>5</v>
      </c>
      <c r="J75" s="76">
        <f t="shared" si="26"/>
        <v>5</v>
      </c>
    </row>
    <row r="76" spans="1:10" ht="14.95" thickBot="1" x14ac:dyDescent="0.3">
      <c r="A76" s="42" t="s">
        <v>537</v>
      </c>
      <c r="B76" s="77">
        <v>0</v>
      </c>
      <c r="C76" s="282">
        <v>0</v>
      </c>
      <c r="D76" s="228">
        <v>1</v>
      </c>
      <c r="E76" s="5">
        <f t="shared" si="25"/>
        <v>1</v>
      </c>
      <c r="F76" s="262" t="s">
        <v>898</v>
      </c>
      <c r="G76" s="296">
        <v>0</v>
      </c>
      <c r="H76" s="329">
        <v>5</v>
      </c>
      <c r="I76" s="263">
        <v>0</v>
      </c>
      <c r="J76" s="76">
        <f t="shared" si="26"/>
        <v>5</v>
      </c>
    </row>
    <row r="77" spans="1:10" ht="14.95" thickBot="1" x14ac:dyDescent="0.3">
      <c r="A77" s="42" t="s">
        <v>441</v>
      </c>
      <c r="B77" s="77">
        <v>0</v>
      </c>
      <c r="C77" s="282">
        <v>0</v>
      </c>
      <c r="D77" s="228">
        <v>0</v>
      </c>
      <c r="E77" s="5">
        <f t="shared" si="25"/>
        <v>0</v>
      </c>
      <c r="F77" s="262" t="s">
        <v>652</v>
      </c>
      <c r="G77" s="296">
        <v>0</v>
      </c>
      <c r="H77" s="329">
        <v>0</v>
      </c>
      <c r="I77" s="263">
        <v>5</v>
      </c>
      <c r="J77" s="76">
        <f t="shared" si="26"/>
        <v>5</v>
      </c>
    </row>
    <row r="78" spans="1:10" ht="14.95" thickBot="1" x14ac:dyDescent="0.3">
      <c r="A78" s="42" t="s">
        <v>649</v>
      </c>
      <c r="B78" s="77">
        <v>0</v>
      </c>
      <c r="C78" s="282">
        <v>0</v>
      </c>
      <c r="D78" s="228">
        <v>0</v>
      </c>
      <c r="E78" s="5">
        <f t="shared" si="25"/>
        <v>0</v>
      </c>
      <c r="F78" s="262" t="s">
        <v>537</v>
      </c>
      <c r="G78" s="296">
        <v>0</v>
      </c>
      <c r="H78" s="329">
        <v>0</v>
      </c>
      <c r="I78" s="263">
        <v>5</v>
      </c>
      <c r="J78" s="76">
        <f t="shared" si="26"/>
        <v>5</v>
      </c>
    </row>
    <row r="79" spans="1:10" ht="14.95" thickBot="1" x14ac:dyDescent="0.3">
      <c r="A79" s="42" t="s">
        <v>487</v>
      </c>
      <c r="B79" s="77">
        <v>0</v>
      </c>
      <c r="C79" s="282">
        <v>0</v>
      </c>
      <c r="D79" s="228">
        <v>0</v>
      </c>
      <c r="E79" s="5">
        <f t="shared" si="25"/>
        <v>0</v>
      </c>
      <c r="F79" s="262" t="s">
        <v>219</v>
      </c>
      <c r="G79" s="296">
        <v>2</v>
      </c>
      <c r="H79" s="329">
        <v>0</v>
      </c>
      <c r="I79" s="263">
        <v>0</v>
      </c>
      <c r="J79" s="76">
        <f t="shared" si="26"/>
        <v>2</v>
      </c>
    </row>
    <row r="80" spans="1:10" ht="14.95" thickBot="1" x14ac:dyDescent="0.3">
      <c r="A80" s="42" t="s">
        <v>158</v>
      </c>
      <c r="B80" s="77">
        <v>0</v>
      </c>
      <c r="C80" s="282">
        <v>0</v>
      </c>
      <c r="D80" s="228">
        <v>0</v>
      </c>
      <c r="E80" s="5">
        <f t="shared" si="25"/>
        <v>0</v>
      </c>
      <c r="F80" s="262" t="s">
        <v>441</v>
      </c>
      <c r="G80" s="296">
        <v>0</v>
      </c>
      <c r="H80" s="329">
        <v>0</v>
      </c>
      <c r="I80" s="263">
        <v>0</v>
      </c>
      <c r="J80" s="76">
        <f t="shared" si="26"/>
        <v>0</v>
      </c>
    </row>
    <row r="81" spans="1:10" ht="14.95" thickBot="1" x14ac:dyDescent="0.3">
      <c r="A81" s="42" t="s">
        <v>152</v>
      </c>
      <c r="B81" s="77">
        <v>0</v>
      </c>
      <c r="C81" s="282">
        <v>0</v>
      </c>
      <c r="D81" s="228">
        <v>0</v>
      </c>
      <c r="E81" s="5">
        <f t="shared" si="25"/>
        <v>0</v>
      </c>
      <c r="F81" s="262" t="s">
        <v>649</v>
      </c>
      <c r="G81" s="296">
        <v>0</v>
      </c>
      <c r="H81" s="329">
        <v>0</v>
      </c>
      <c r="I81" s="263">
        <v>0</v>
      </c>
      <c r="J81" s="76">
        <f t="shared" si="26"/>
        <v>0</v>
      </c>
    </row>
    <row r="82" spans="1:10" ht="14.95" thickBot="1" x14ac:dyDescent="0.3">
      <c r="A82" s="42" t="s">
        <v>1065</v>
      </c>
      <c r="B82" s="77">
        <v>0</v>
      </c>
      <c r="C82" s="282">
        <v>0</v>
      </c>
      <c r="D82" s="228">
        <v>0</v>
      </c>
      <c r="E82" s="5">
        <f t="shared" si="25"/>
        <v>0</v>
      </c>
      <c r="F82" s="262" t="s">
        <v>487</v>
      </c>
      <c r="G82" s="296">
        <v>0</v>
      </c>
      <c r="H82" s="329">
        <v>0</v>
      </c>
      <c r="I82" s="263">
        <v>0</v>
      </c>
      <c r="J82" s="76">
        <f t="shared" si="26"/>
        <v>0</v>
      </c>
    </row>
    <row r="83" spans="1:10" ht="14.95" thickBot="1" x14ac:dyDescent="0.3">
      <c r="A83" s="42" t="s">
        <v>646</v>
      </c>
      <c r="B83" s="77">
        <v>0</v>
      </c>
      <c r="C83" s="282">
        <v>0</v>
      </c>
      <c r="D83" s="228">
        <v>0</v>
      </c>
      <c r="E83" s="5">
        <f t="shared" si="25"/>
        <v>0</v>
      </c>
      <c r="F83" s="264" t="s">
        <v>158</v>
      </c>
      <c r="G83" s="296">
        <v>0</v>
      </c>
      <c r="H83" s="329">
        <v>0</v>
      </c>
      <c r="I83" s="263">
        <v>0</v>
      </c>
      <c r="J83" s="76">
        <f t="shared" si="26"/>
        <v>0</v>
      </c>
    </row>
    <row r="84" spans="1:10" ht="14.95" thickBot="1" x14ac:dyDescent="0.3">
      <c r="A84" s="42" t="s">
        <v>500</v>
      </c>
      <c r="B84" s="77">
        <v>0</v>
      </c>
      <c r="C84" s="282">
        <v>0</v>
      </c>
      <c r="D84" s="228">
        <v>0</v>
      </c>
      <c r="E84" s="5">
        <f t="shared" si="25"/>
        <v>0</v>
      </c>
      <c r="F84" s="262" t="s">
        <v>152</v>
      </c>
      <c r="G84" s="296">
        <v>0</v>
      </c>
      <c r="H84" s="329">
        <v>0</v>
      </c>
      <c r="I84" s="263">
        <v>0</v>
      </c>
      <c r="J84" s="76">
        <f t="shared" si="26"/>
        <v>0</v>
      </c>
    </row>
    <row r="85" spans="1:10" ht="14.95" thickBot="1" x14ac:dyDescent="0.3">
      <c r="A85" s="42" t="s">
        <v>219</v>
      </c>
      <c r="B85" s="77">
        <v>0</v>
      </c>
      <c r="C85" s="282">
        <v>0</v>
      </c>
      <c r="D85" s="228">
        <v>0</v>
      </c>
      <c r="E85" s="5">
        <f t="shared" si="25"/>
        <v>0</v>
      </c>
      <c r="F85" s="262" t="s">
        <v>646</v>
      </c>
      <c r="G85" s="296">
        <v>0</v>
      </c>
      <c r="H85" s="329">
        <v>0</v>
      </c>
      <c r="I85" s="263">
        <v>0</v>
      </c>
      <c r="J85" s="76">
        <f t="shared" si="26"/>
        <v>0</v>
      </c>
    </row>
    <row r="86" spans="1:10" ht="14.95" thickBot="1" x14ac:dyDescent="0.3">
      <c r="A86" s="42" t="s">
        <v>340</v>
      </c>
      <c r="B86" s="77">
        <v>0</v>
      </c>
      <c r="C86" s="282">
        <v>0</v>
      </c>
      <c r="D86" s="228">
        <v>0</v>
      </c>
      <c r="E86" s="5">
        <f t="shared" si="25"/>
        <v>0</v>
      </c>
      <c r="F86" s="262" t="s">
        <v>340</v>
      </c>
      <c r="G86" s="296">
        <v>0</v>
      </c>
      <c r="H86" s="329">
        <v>0</v>
      </c>
      <c r="I86" s="263">
        <v>0</v>
      </c>
      <c r="J86" s="76">
        <f t="shared" si="26"/>
        <v>0</v>
      </c>
    </row>
    <row r="87" spans="1:10" ht="14.95" thickBot="1" x14ac:dyDescent="0.3">
      <c r="A87" s="42" t="s">
        <v>462</v>
      </c>
      <c r="B87" s="77">
        <v>0</v>
      </c>
      <c r="C87" s="282">
        <v>0</v>
      </c>
      <c r="D87" s="228">
        <v>0</v>
      </c>
      <c r="E87" s="5">
        <f t="shared" si="25"/>
        <v>0</v>
      </c>
      <c r="F87" s="262" t="s">
        <v>462</v>
      </c>
      <c r="G87" s="296">
        <v>0</v>
      </c>
      <c r="H87" s="329">
        <v>0</v>
      </c>
      <c r="I87" s="263">
        <v>0</v>
      </c>
      <c r="J87" s="76">
        <f t="shared" si="26"/>
        <v>0</v>
      </c>
    </row>
    <row r="88" spans="1:10" ht="14.95" thickBot="1" x14ac:dyDescent="0.3">
      <c r="A88" s="42" t="s">
        <v>461</v>
      </c>
      <c r="B88" s="77">
        <v>0</v>
      </c>
      <c r="C88" s="282">
        <v>0</v>
      </c>
      <c r="D88" s="228">
        <v>0</v>
      </c>
      <c r="E88" s="5">
        <f t="shared" si="25"/>
        <v>0</v>
      </c>
      <c r="F88" s="262" t="s">
        <v>461</v>
      </c>
      <c r="G88" s="296">
        <v>0</v>
      </c>
      <c r="H88" s="329">
        <v>0</v>
      </c>
      <c r="I88" s="263">
        <v>0</v>
      </c>
      <c r="J88" s="76">
        <f t="shared" si="26"/>
        <v>0</v>
      </c>
    </row>
    <row r="89" spans="1:10" ht="14.95" thickBot="1" x14ac:dyDescent="0.3">
      <c r="A89" s="42" t="s">
        <v>896</v>
      </c>
      <c r="B89" s="77">
        <v>0</v>
      </c>
      <c r="C89" s="282">
        <v>0</v>
      </c>
      <c r="D89" s="228">
        <v>0</v>
      </c>
      <c r="E89" s="5">
        <f t="shared" si="25"/>
        <v>0</v>
      </c>
      <c r="F89" s="262" t="s">
        <v>896</v>
      </c>
      <c r="G89" s="296">
        <v>0</v>
      </c>
      <c r="H89" s="329">
        <v>0</v>
      </c>
      <c r="I89" s="263">
        <v>0</v>
      </c>
      <c r="J89" s="76">
        <f t="shared" si="26"/>
        <v>0</v>
      </c>
    </row>
    <row r="90" spans="1:10" ht="14.95" thickBot="1" x14ac:dyDescent="0.3">
      <c r="A90" s="42" t="s">
        <v>914</v>
      </c>
      <c r="B90" s="77">
        <v>0</v>
      </c>
      <c r="C90" s="282">
        <v>0</v>
      </c>
      <c r="D90" s="228">
        <v>0</v>
      </c>
      <c r="E90" s="5">
        <f t="shared" si="25"/>
        <v>0</v>
      </c>
      <c r="F90" s="262" t="s">
        <v>914</v>
      </c>
      <c r="G90" s="296">
        <v>0</v>
      </c>
      <c r="H90" s="329">
        <v>0</v>
      </c>
      <c r="I90" s="263">
        <v>0</v>
      </c>
      <c r="J90" s="76">
        <f t="shared" si="26"/>
        <v>0</v>
      </c>
    </row>
    <row r="91" spans="1:10" ht="14.95" thickBot="1" x14ac:dyDescent="0.3">
      <c r="A91" s="42" t="s">
        <v>386</v>
      </c>
      <c r="B91" s="77">
        <v>0</v>
      </c>
      <c r="C91" s="282">
        <v>0</v>
      </c>
      <c r="D91" s="228">
        <v>0</v>
      </c>
      <c r="E91" s="5">
        <f t="shared" si="25"/>
        <v>0</v>
      </c>
      <c r="F91" s="262" t="s">
        <v>386</v>
      </c>
      <c r="G91" s="296">
        <v>0</v>
      </c>
      <c r="H91" s="329">
        <v>0</v>
      </c>
      <c r="I91" s="263">
        <v>0</v>
      </c>
      <c r="J91" s="76">
        <f t="shared" si="26"/>
        <v>0</v>
      </c>
    </row>
    <row r="92" spans="1:10" ht="14.95" thickBot="1" x14ac:dyDescent="0.3">
      <c r="A92" s="42" t="s">
        <v>148</v>
      </c>
      <c r="B92" s="77">
        <v>0</v>
      </c>
      <c r="C92" s="282">
        <v>0</v>
      </c>
      <c r="D92" s="228">
        <v>0</v>
      </c>
      <c r="E92" s="5">
        <f t="shared" si="25"/>
        <v>0</v>
      </c>
      <c r="F92" s="262" t="s">
        <v>148</v>
      </c>
      <c r="G92" s="296">
        <v>0</v>
      </c>
      <c r="H92" s="329">
        <v>0</v>
      </c>
      <c r="I92" s="263">
        <v>0</v>
      </c>
      <c r="J92" s="76">
        <f t="shared" si="26"/>
        <v>0</v>
      </c>
    </row>
    <row r="93" spans="1:10" ht="14.95" thickBot="1" x14ac:dyDescent="0.3">
      <c r="A93" s="42" t="s">
        <v>4</v>
      </c>
      <c r="B93" s="77">
        <v>0</v>
      </c>
      <c r="C93" s="282">
        <v>0</v>
      </c>
      <c r="D93" s="228">
        <v>0</v>
      </c>
      <c r="E93" s="5">
        <f t="shared" si="25"/>
        <v>0</v>
      </c>
      <c r="F93" s="262" t="s">
        <v>4</v>
      </c>
      <c r="G93" s="296">
        <v>0</v>
      </c>
      <c r="H93" s="329">
        <v>0</v>
      </c>
      <c r="I93" s="263">
        <v>0</v>
      </c>
      <c r="J93" s="76">
        <f t="shared" si="26"/>
        <v>0</v>
      </c>
    </row>
    <row r="94" spans="1:10" ht="14.95" thickBot="1" x14ac:dyDescent="0.3">
      <c r="A94" s="42" t="s">
        <v>648</v>
      </c>
      <c r="B94" s="77">
        <v>0</v>
      </c>
      <c r="C94" s="282">
        <v>0</v>
      </c>
      <c r="D94" s="228">
        <v>0</v>
      </c>
      <c r="E94" s="5">
        <f t="shared" si="25"/>
        <v>0</v>
      </c>
      <c r="F94" s="262" t="s">
        <v>648</v>
      </c>
      <c r="G94" s="296">
        <v>0</v>
      </c>
      <c r="H94" s="329">
        <v>0</v>
      </c>
      <c r="I94" s="263">
        <v>0</v>
      </c>
      <c r="J94" s="76">
        <f t="shared" si="26"/>
        <v>0</v>
      </c>
    </row>
    <row r="95" spans="1:10" ht="14.95" thickBot="1" x14ac:dyDescent="0.3">
      <c r="A95" s="42" t="s">
        <v>418</v>
      </c>
      <c r="B95" s="77">
        <v>0</v>
      </c>
      <c r="C95" s="282">
        <v>0</v>
      </c>
      <c r="D95" s="228">
        <v>0</v>
      </c>
      <c r="E95" s="5">
        <f t="shared" si="25"/>
        <v>0</v>
      </c>
      <c r="F95" s="262" t="s">
        <v>418</v>
      </c>
      <c r="G95" s="296">
        <v>0</v>
      </c>
      <c r="H95" s="329">
        <v>0</v>
      </c>
      <c r="I95" s="263">
        <v>0</v>
      </c>
      <c r="J95" s="76">
        <f t="shared" si="26"/>
        <v>0</v>
      </c>
    </row>
    <row r="96" spans="1:10" ht="14.95" thickBot="1" x14ac:dyDescent="0.3">
      <c r="A96" s="42" t="s">
        <v>844</v>
      </c>
      <c r="B96" s="77">
        <v>0</v>
      </c>
      <c r="C96" s="282">
        <v>0</v>
      </c>
      <c r="D96" s="228">
        <v>0</v>
      </c>
      <c r="E96" s="5">
        <f t="shared" si="25"/>
        <v>0</v>
      </c>
      <c r="F96" s="262" t="s">
        <v>844</v>
      </c>
      <c r="G96" s="296">
        <v>0</v>
      </c>
      <c r="H96" s="329">
        <v>0</v>
      </c>
      <c r="I96" s="263">
        <v>0</v>
      </c>
      <c r="J96" s="76">
        <f t="shared" si="26"/>
        <v>0</v>
      </c>
    </row>
    <row r="97" spans="1:10" ht="14.95" thickBot="1" x14ac:dyDescent="0.3">
      <c r="A97" s="42" t="s">
        <v>560</v>
      </c>
      <c r="B97" s="77">
        <v>0</v>
      </c>
      <c r="C97" s="282">
        <v>0</v>
      </c>
      <c r="D97" s="228">
        <v>0</v>
      </c>
      <c r="E97" s="5">
        <f t="shared" si="25"/>
        <v>0</v>
      </c>
      <c r="F97" s="262" t="s">
        <v>560</v>
      </c>
      <c r="G97" s="296">
        <v>0</v>
      </c>
      <c r="H97" s="329">
        <v>0</v>
      </c>
      <c r="I97" s="263">
        <v>0</v>
      </c>
      <c r="J97" s="76">
        <f t="shared" si="26"/>
        <v>0</v>
      </c>
    </row>
    <row r="98" spans="1:10" ht="14.95" thickBot="1" x14ac:dyDescent="0.3">
      <c r="A98" s="42" t="s">
        <v>176</v>
      </c>
      <c r="B98" s="77">
        <v>0</v>
      </c>
      <c r="C98" s="282">
        <v>0</v>
      </c>
      <c r="D98" s="228">
        <v>0</v>
      </c>
      <c r="E98" s="5">
        <f t="shared" si="25"/>
        <v>0</v>
      </c>
      <c r="F98" s="262" t="s">
        <v>176</v>
      </c>
      <c r="G98" s="296">
        <v>0</v>
      </c>
      <c r="H98" s="329">
        <v>0</v>
      </c>
      <c r="I98" s="263">
        <v>0</v>
      </c>
      <c r="J98" s="76">
        <f t="shared" si="26"/>
        <v>0</v>
      </c>
    </row>
    <row r="99" spans="1:10" ht="14.95" thickBot="1" x14ac:dyDescent="0.3">
      <c r="A99" s="42" t="s">
        <v>3</v>
      </c>
      <c r="B99" s="77">
        <f>SUM(B53:B98)</f>
        <v>37</v>
      </c>
      <c r="C99" s="282">
        <f>SUM(C53:C98)</f>
        <v>18</v>
      </c>
      <c r="D99" s="228">
        <f>SUM(D53:D98)</f>
        <v>9</v>
      </c>
      <c r="E99" s="5">
        <f>SUM(E53:E98)</f>
        <v>64</v>
      </c>
      <c r="F99" s="262" t="s">
        <v>3</v>
      </c>
      <c r="G99" s="296">
        <f>SUM(G53:G98)</f>
        <v>269</v>
      </c>
      <c r="H99" s="329">
        <f>SUM(H53:H98)</f>
        <v>129</v>
      </c>
      <c r="I99" s="263">
        <f>SUM(I53:I98)</f>
        <v>63</v>
      </c>
      <c r="J99" s="76">
        <f>SUM(J53:J98)</f>
        <v>461</v>
      </c>
    </row>
    <row r="100" spans="1:10" ht="16.3" x14ac:dyDescent="0.3">
      <c r="A100" s="455" t="s">
        <v>34</v>
      </c>
      <c r="B100" s="511"/>
      <c r="C100" s="511"/>
      <c r="D100" s="511"/>
      <c r="E100" s="511"/>
      <c r="F100" s="511"/>
      <c r="G100" s="511"/>
      <c r="H100" s="511"/>
      <c r="I100" s="511"/>
      <c r="J100" s="511"/>
    </row>
  </sheetData>
  <sortState xmlns:xlrd2="http://schemas.microsoft.com/office/spreadsheetml/2017/richdata2" ref="F53:J98">
    <sortCondition descending="1" ref="J53:J98"/>
  </sortState>
  <mergeCells count="62">
    <mergeCell ref="K1:K2"/>
    <mergeCell ref="L1:N2"/>
    <mergeCell ref="O1:Q2"/>
    <mergeCell ref="K20:K21"/>
    <mergeCell ref="L20:N21"/>
    <mergeCell ref="K12:K13"/>
    <mergeCell ref="AZ12:BB13"/>
    <mergeCell ref="AW12:AY13"/>
    <mergeCell ref="O20:Q21"/>
    <mergeCell ref="AK20:AM21"/>
    <mergeCell ref="R20:T21"/>
    <mergeCell ref="AZ20:BB21"/>
    <mergeCell ref="U20:W21"/>
    <mergeCell ref="AN20:AP21"/>
    <mergeCell ref="AQ20:AS21"/>
    <mergeCell ref="AT20:AV21"/>
    <mergeCell ref="AE12:AG13"/>
    <mergeCell ref="AE20:AG21"/>
    <mergeCell ref="AN12:AP13"/>
    <mergeCell ref="AB12:AD13"/>
    <mergeCell ref="AB20:AD21"/>
    <mergeCell ref="AH12:AJ13"/>
    <mergeCell ref="BF1:BH2"/>
    <mergeCell ref="BC1:BE2"/>
    <mergeCell ref="AZ1:BB2"/>
    <mergeCell ref="AW1:AY2"/>
    <mergeCell ref="AN1:AP2"/>
    <mergeCell ref="AQ1:AS2"/>
    <mergeCell ref="AT1:AV2"/>
    <mergeCell ref="AT28:AV29"/>
    <mergeCell ref="U28:W29"/>
    <mergeCell ref="AW20:AY21"/>
    <mergeCell ref="AT12:AV13"/>
    <mergeCell ref="AQ28:AS29"/>
    <mergeCell ref="AN28:AP29"/>
    <mergeCell ref="AK28:AM29"/>
    <mergeCell ref="AQ12:AS13"/>
    <mergeCell ref="AE28:AG29"/>
    <mergeCell ref="AK12:AM13"/>
    <mergeCell ref="AB28:AD29"/>
    <mergeCell ref="AH20:AJ21"/>
    <mergeCell ref="AH28:AJ29"/>
    <mergeCell ref="T1:V2"/>
    <mergeCell ref="AK1:AM2"/>
    <mergeCell ref="R12:T13"/>
    <mergeCell ref="W1:Y2"/>
    <mergeCell ref="R1:S2"/>
    <mergeCell ref="AE1:AG2"/>
    <mergeCell ref="AB1:AD2"/>
    <mergeCell ref="AH1:AJ2"/>
    <mergeCell ref="A100:J100"/>
    <mergeCell ref="L12:N13"/>
    <mergeCell ref="O12:Q13"/>
    <mergeCell ref="A50:H50"/>
    <mergeCell ref="K40:Y40"/>
    <mergeCell ref="U12:W13"/>
    <mergeCell ref="L28:N29"/>
    <mergeCell ref="K39:Z39"/>
    <mergeCell ref="K38:Y38"/>
    <mergeCell ref="R28:T29"/>
    <mergeCell ref="O28:Q29"/>
    <mergeCell ref="K28:K29"/>
  </mergeCells>
  <pageMargins left="0.7" right="0.7" top="0.75" bottom="0.75" header="0.3" footer="0.3"/>
  <pageSetup paperSize="9" orientation="portrait" r:id="rId1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108"/>
  <sheetViews>
    <sheetView zoomScaleNormal="100" workbookViewId="0">
      <selection activeCell="O19" sqref="O19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7" width="5.375" customWidth="1"/>
    <col min="18" max="18" width="5.875" bestFit="1" customWidth="1"/>
    <col min="19" max="19" width="5.75" customWidth="1"/>
    <col min="20" max="31" width="5.375" customWidth="1"/>
    <col min="32" max="52" width="5.75" customWidth="1"/>
    <col min="53" max="61" width="5.625" customWidth="1"/>
  </cols>
  <sheetData>
    <row r="1" spans="1:68" ht="14.95" customHeight="1" thickBot="1" x14ac:dyDescent="0.3">
      <c r="A1" s="521" t="s">
        <v>906</v>
      </c>
      <c r="B1" s="522"/>
      <c r="C1" s="522"/>
      <c r="D1" s="522"/>
      <c r="E1" s="522"/>
      <c r="F1" s="522"/>
      <c r="G1" s="522"/>
      <c r="H1" s="522"/>
      <c r="I1" s="522"/>
      <c r="J1" s="523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60"/>
      <c r="AA1" s="301"/>
      <c r="AB1" s="302"/>
      <c r="AC1" s="457" t="s">
        <v>601</v>
      </c>
      <c r="AD1" s="458"/>
      <c r="AE1" s="459"/>
      <c r="AF1" s="457" t="s">
        <v>494</v>
      </c>
      <c r="AG1" s="458"/>
      <c r="AH1" s="459"/>
      <c r="AI1" s="457" t="s">
        <v>407</v>
      </c>
      <c r="AJ1" s="458"/>
      <c r="AK1" s="459"/>
      <c r="AL1" s="457" t="s">
        <v>313</v>
      </c>
      <c r="AM1" s="458"/>
      <c r="AN1" s="459"/>
      <c r="AO1" s="457" t="s">
        <v>227</v>
      </c>
      <c r="AP1" s="458"/>
      <c r="AQ1" s="459"/>
      <c r="AR1" s="457" t="s">
        <v>172</v>
      </c>
      <c r="AS1" s="458"/>
      <c r="AT1" s="459"/>
      <c r="AU1" s="457" t="s">
        <v>79</v>
      </c>
      <c r="AV1" s="458"/>
      <c r="AW1" s="459"/>
      <c r="AX1" s="457" t="s">
        <v>54</v>
      </c>
      <c r="AY1" s="458"/>
      <c r="AZ1" s="459"/>
      <c r="BA1" s="457" t="s">
        <v>50</v>
      </c>
      <c r="BB1" s="458"/>
      <c r="BC1" s="459"/>
      <c r="BD1" s="457" t="s">
        <v>41</v>
      </c>
      <c r="BE1" s="458"/>
      <c r="BF1" s="459"/>
      <c r="BG1" s="457" t="s">
        <v>45</v>
      </c>
      <c r="BH1" s="458"/>
      <c r="BI1" s="459"/>
      <c r="BK1" s="4"/>
      <c r="BL1" s="4"/>
      <c r="BM1" s="4"/>
      <c r="BP1" s="4"/>
    </row>
    <row r="2" spans="1:68" ht="14.95" customHeight="1" thickBot="1" x14ac:dyDescent="0.3">
      <c r="A2" s="111" t="s">
        <v>0</v>
      </c>
      <c r="B2" s="176" t="s">
        <v>226</v>
      </c>
      <c r="C2" s="367" t="s">
        <v>30</v>
      </c>
      <c r="D2" s="232" t="s">
        <v>339</v>
      </c>
      <c r="E2" s="112" t="s">
        <v>1</v>
      </c>
      <c r="F2" s="113" t="s">
        <v>2</v>
      </c>
      <c r="G2" s="174" t="s">
        <v>226</v>
      </c>
      <c r="H2" s="256" t="s">
        <v>30</v>
      </c>
      <c r="I2" s="233" t="s">
        <v>339</v>
      </c>
      <c r="J2" s="105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301"/>
      <c r="AA2" s="301"/>
      <c r="AB2" s="302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A2" s="460"/>
      <c r="BB2" s="461"/>
      <c r="BC2" s="462"/>
      <c r="BD2" s="460"/>
      <c r="BE2" s="461"/>
      <c r="BF2" s="462"/>
      <c r="BG2" s="460"/>
      <c r="BH2" s="461"/>
      <c r="BI2" s="462"/>
    </row>
    <row r="3" spans="1:68" ht="14.95" customHeight="1" thickBot="1" x14ac:dyDescent="0.3">
      <c r="A3" s="43" t="s">
        <v>221</v>
      </c>
      <c r="B3" s="177">
        <v>1</v>
      </c>
      <c r="C3" s="368">
        <v>0</v>
      </c>
      <c r="D3" s="234">
        <v>0</v>
      </c>
      <c r="E3" s="60">
        <f t="shared" ref="E3:E52" si="0">SUM(B3:D3)</f>
        <v>1</v>
      </c>
      <c r="F3" s="74" t="s">
        <v>221</v>
      </c>
      <c r="G3" s="175">
        <v>5</v>
      </c>
      <c r="H3" s="257">
        <v>0</v>
      </c>
      <c r="I3" s="235">
        <v>0</v>
      </c>
      <c r="J3" s="76">
        <f t="shared" ref="J3:J53" si="1">SUM(G3:I3)</f>
        <v>5</v>
      </c>
      <c r="K3" s="217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148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84" t="s">
        <v>46</v>
      </c>
      <c r="AJ3" s="79" t="s">
        <v>9</v>
      </c>
      <c r="AK3" s="79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43" t="s">
        <v>867</v>
      </c>
      <c r="B4" s="177">
        <v>0</v>
      </c>
      <c r="C4" s="368">
        <v>0</v>
      </c>
      <c r="D4" s="234">
        <v>0</v>
      </c>
      <c r="E4" s="60">
        <f t="shared" si="0"/>
        <v>0</v>
      </c>
      <c r="F4" s="74" t="s">
        <v>867</v>
      </c>
      <c r="G4" s="175">
        <v>0</v>
      </c>
      <c r="H4" s="257">
        <v>0</v>
      </c>
      <c r="I4" s="235">
        <v>0</v>
      </c>
      <c r="J4" s="76">
        <f t="shared" si="1"/>
        <v>0</v>
      </c>
      <c r="K4" s="50" t="s">
        <v>558</v>
      </c>
      <c r="L4" s="14" t="s">
        <v>15</v>
      </c>
      <c r="M4" s="14" t="s">
        <v>15</v>
      </c>
      <c r="N4" s="147" t="s">
        <v>15</v>
      </c>
      <c r="O4" s="14" t="s">
        <v>15</v>
      </c>
      <c r="P4" s="14" t="s">
        <v>15</v>
      </c>
      <c r="Q4" s="147" t="s">
        <v>15</v>
      </c>
      <c r="R4" s="14">
        <v>-2</v>
      </c>
      <c r="S4" s="14">
        <v>-2</v>
      </c>
      <c r="T4" s="7">
        <v>1</v>
      </c>
      <c r="U4" s="7">
        <v>3</v>
      </c>
      <c r="V4" s="153">
        <v>33.333333333333329</v>
      </c>
      <c r="W4" s="7">
        <v>5</v>
      </c>
      <c r="X4" s="7">
        <v>10</v>
      </c>
      <c r="Y4" s="153">
        <v>50</v>
      </c>
      <c r="Z4" s="94"/>
      <c r="AA4" s="94"/>
      <c r="AB4" s="156"/>
      <c r="AC4" s="7">
        <v>4</v>
      </c>
      <c r="AD4" s="7">
        <v>7</v>
      </c>
      <c r="AE4" s="153">
        <v>57.142857142857139</v>
      </c>
      <c r="AF4" s="7">
        <v>1</v>
      </c>
      <c r="AG4" s="7">
        <v>1</v>
      </c>
      <c r="AH4" s="153">
        <f>SUM(AF4/AG4)*100</f>
        <v>100</v>
      </c>
      <c r="AI4" s="7">
        <v>2</v>
      </c>
      <c r="AJ4" s="153">
        <v>2</v>
      </c>
      <c r="AK4" s="79">
        <v>100</v>
      </c>
      <c r="AL4" s="148" t="s">
        <v>15</v>
      </c>
      <c r="AM4" s="7" t="s">
        <v>15</v>
      </c>
      <c r="AN4" s="7" t="s">
        <v>15</v>
      </c>
      <c r="AO4" s="148" t="s">
        <v>15</v>
      </c>
      <c r="AP4" s="7" t="s">
        <v>15</v>
      </c>
      <c r="AQ4" s="7" t="s">
        <v>15</v>
      </c>
      <c r="AR4" s="148" t="s">
        <v>15</v>
      </c>
      <c r="AS4" s="7" t="s">
        <v>15</v>
      </c>
      <c r="AT4" s="7" t="s">
        <v>15</v>
      </c>
      <c r="AU4" s="148" t="s">
        <v>15</v>
      </c>
      <c r="AV4" s="7" t="s">
        <v>15</v>
      </c>
      <c r="AW4" s="7" t="s">
        <v>15</v>
      </c>
      <c r="AX4" s="6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  <c r="BI4" s="7" t="s">
        <v>15</v>
      </c>
    </row>
    <row r="5" spans="1:68" ht="14.95" customHeight="1" thickBot="1" x14ac:dyDescent="0.3">
      <c r="A5" s="43" t="s">
        <v>270</v>
      </c>
      <c r="B5" s="177">
        <v>0</v>
      </c>
      <c r="C5" s="368">
        <v>3</v>
      </c>
      <c r="D5" s="234">
        <v>0</v>
      </c>
      <c r="E5" s="60">
        <f t="shared" si="0"/>
        <v>3</v>
      </c>
      <c r="F5" s="74" t="s">
        <v>270</v>
      </c>
      <c r="G5" s="175">
        <v>0</v>
      </c>
      <c r="H5" s="257">
        <v>15</v>
      </c>
      <c r="I5" s="235">
        <v>0</v>
      </c>
      <c r="J5" s="76">
        <f t="shared" si="1"/>
        <v>15</v>
      </c>
      <c r="K5" s="50" t="s">
        <v>175</v>
      </c>
      <c r="L5" s="14" t="s">
        <v>15</v>
      </c>
      <c r="M5" s="14" t="s">
        <v>15</v>
      </c>
      <c r="N5" s="147" t="s">
        <v>15</v>
      </c>
      <c r="O5" s="14">
        <v>2</v>
      </c>
      <c r="P5" s="14">
        <v>2</v>
      </c>
      <c r="Q5" s="147">
        <f t="shared" ref="Q5" si="2">SUM(O5/P5)*100</f>
        <v>100</v>
      </c>
      <c r="R5" s="14">
        <v>2</v>
      </c>
      <c r="S5" s="14">
        <v>7</v>
      </c>
      <c r="T5" s="148">
        <v>15</v>
      </c>
      <c r="U5" s="7">
        <v>18</v>
      </c>
      <c r="V5" s="153">
        <v>83.333333333333343</v>
      </c>
      <c r="W5" s="148">
        <v>20</v>
      </c>
      <c r="X5" s="7">
        <v>29</v>
      </c>
      <c r="Y5" s="153">
        <v>68.965517241379317</v>
      </c>
      <c r="Z5" s="94"/>
      <c r="AA5" s="94"/>
      <c r="AB5" s="197"/>
      <c r="AC5" s="148">
        <v>2</v>
      </c>
      <c r="AD5" s="7">
        <v>2</v>
      </c>
      <c r="AE5" s="153">
        <v>100</v>
      </c>
      <c r="AF5" s="148">
        <v>3</v>
      </c>
      <c r="AG5" s="7">
        <v>5</v>
      </c>
      <c r="AH5" s="153">
        <f t="shared" ref="AH5" si="3">(AF5/AG5)*100</f>
        <v>60</v>
      </c>
      <c r="AI5" s="84">
        <v>16</v>
      </c>
      <c r="AJ5" s="79">
        <v>17</v>
      </c>
      <c r="AK5" s="171">
        <f t="shared" ref="AK5" si="4">(AI5/AJ5)*100</f>
        <v>94.117647058823522</v>
      </c>
      <c r="AL5" s="148" t="s">
        <v>15</v>
      </c>
      <c r="AM5" s="7" t="s">
        <v>15</v>
      </c>
      <c r="AN5" s="7" t="s">
        <v>15</v>
      </c>
      <c r="AO5" s="148" t="s">
        <v>15</v>
      </c>
      <c r="AP5" s="7" t="s">
        <v>15</v>
      </c>
      <c r="AQ5" s="7" t="s">
        <v>15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6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</row>
    <row r="6" spans="1:68" ht="14.95" customHeight="1" thickBot="1" x14ac:dyDescent="0.3">
      <c r="A6" s="43" t="s">
        <v>383</v>
      </c>
      <c r="B6" s="177">
        <v>0</v>
      </c>
      <c r="C6" s="368">
        <v>0</v>
      </c>
      <c r="D6" s="234">
        <v>0</v>
      </c>
      <c r="E6" s="60">
        <f t="shared" si="0"/>
        <v>0</v>
      </c>
      <c r="F6" s="73" t="s">
        <v>383</v>
      </c>
      <c r="G6" s="175">
        <v>0</v>
      </c>
      <c r="H6" s="257">
        <v>0</v>
      </c>
      <c r="I6" s="235">
        <v>0</v>
      </c>
      <c r="J6" s="76">
        <f t="shared" si="1"/>
        <v>0</v>
      </c>
      <c r="K6" s="50" t="s">
        <v>1035</v>
      </c>
      <c r="L6" s="14">
        <v>23</v>
      </c>
      <c r="M6" s="14">
        <v>31</v>
      </c>
      <c r="N6" s="147">
        <f t="shared" ref="N6" si="5">SUM(L6/M6)*100</f>
        <v>74.193548387096769</v>
      </c>
      <c r="O6" s="14" t="s">
        <v>15</v>
      </c>
      <c r="P6" s="14" t="s">
        <v>15</v>
      </c>
      <c r="Q6" s="147" t="s">
        <v>15</v>
      </c>
      <c r="R6" s="14">
        <v>2</v>
      </c>
      <c r="S6" s="14">
        <v>2</v>
      </c>
      <c r="T6" s="148">
        <v>34</v>
      </c>
      <c r="U6" s="7">
        <v>44</v>
      </c>
      <c r="V6" s="153">
        <v>77.272727272727266</v>
      </c>
      <c r="W6" s="148">
        <v>27</v>
      </c>
      <c r="X6" s="7">
        <v>31</v>
      </c>
      <c r="Y6" s="153">
        <v>87.096774193548384</v>
      </c>
      <c r="Z6" s="94"/>
      <c r="AA6" s="94"/>
      <c r="AB6" s="197"/>
      <c r="AC6" s="148">
        <v>38</v>
      </c>
      <c r="AD6" s="7">
        <v>44</v>
      </c>
      <c r="AE6" s="153">
        <v>86.36363636363636</v>
      </c>
      <c r="AF6" s="148">
        <v>52</v>
      </c>
      <c r="AG6" s="7">
        <v>61</v>
      </c>
      <c r="AH6" s="153">
        <v>85.245901639344254</v>
      </c>
      <c r="AI6" s="84">
        <v>35</v>
      </c>
      <c r="AJ6" s="79">
        <v>40</v>
      </c>
      <c r="AK6" s="171">
        <v>87.5</v>
      </c>
      <c r="AL6" s="148">
        <v>37</v>
      </c>
      <c r="AM6" s="7">
        <v>43</v>
      </c>
      <c r="AN6" s="7">
        <v>86</v>
      </c>
      <c r="AO6" s="148">
        <v>46</v>
      </c>
      <c r="AP6" s="7">
        <v>63</v>
      </c>
      <c r="AQ6" s="7">
        <v>73</v>
      </c>
      <c r="AR6" s="148">
        <v>51</v>
      </c>
      <c r="AS6" s="7">
        <v>72</v>
      </c>
      <c r="AT6" s="7">
        <v>71</v>
      </c>
      <c r="AU6" s="148" t="s">
        <v>15</v>
      </c>
      <c r="AV6" s="7" t="s">
        <v>15</v>
      </c>
      <c r="AW6" s="7" t="s">
        <v>15</v>
      </c>
      <c r="AX6" s="6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  <c r="BI6" s="7" t="s">
        <v>15</v>
      </c>
    </row>
    <row r="7" spans="1:68" ht="14.95" customHeight="1" thickBot="1" x14ac:dyDescent="0.3">
      <c r="A7" s="43" t="s">
        <v>944</v>
      </c>
      <c r="B7" s="177">
        <v>1</v>
      </c>
      <c r="C7" s="368">
        <v>0</v>
      </c>
      <c r="D7" s="234">
        <v>0</v>
      </c>
      <c r="E7" s="60">
        <f t="shared" si="0"/>
        <v>1</v>
      </c>
      <c r="F7" s="73" t="s">
        <v>944</v>
      </c>
      <c r="G7" s="175">
        <v>5</v>
      </c>
      <c r="H7" s="257">
        <v>0</v>
      </c>
      <c r="I7" s="235">
        <v>0</v>
      </c>
      <c r="J7" s="76">
        <f t="shared" si="1"/>
        <v>5</v>
      </c>
      <c r="K7" s="50" t="s">
        <v>592</v>
      </c>
      <c r="L7" s="14" t="s">
        <v>15</v>
      </c>
      <c r="M7" s="14" t="s">
        <v>15</v>
      </c>
      <c r="N7" s="147" t="s">
        <v>15</v>
      </c>
      <c r="O7" s="14" t="s">
        <v>15</v>
      </c>
      <c r="P7" s="14" t="s">
        <v>15</v>
      </c>
      <c r="Q7" s="147" t="s">
        <v>15</v>
      </c>
      <c r="R7" s="14">
        <v>-2</v>
      </c>
      <c r="S7" s="14">
        <v>-2</v>
      </c>
      <c r="T7" s="148">
        <v>0</v>
      </c>
      <c r="U7" s="7">
        <v>2</v>
      </c>
      <c r="V7" s="153">
        <v>0</v>
      </c>
      <c r="W7" s="148">
        <v>5</v>
      </c>
      <c r="X7" s="7">
        <v>6</v>
      </c>
      <c r="Y7" s="153">
        <v>83.333333333333343</v>
      </c>
      <c r="Z7" s="94"/>
      <c r="AA7" s="94"/>
      <c r="AB7" s="197"/>
      <c r="AC7" s="148">
        <v>3</v>
      </c>
      <c r="AD7" s="7">
        <v>4</v>
      </c>
      <c r="AE7" s="153">
        <v>75</v>
      </c>
      <c r="AF7" s="84" t="s">
        <v>15</v>
      </c>
      <c r="AG7" s="79" t="s">
        <v>15</v>
      </c>
      <c r="AH7" s="171" t="s">
        <v>15</v>
      </c>
      <c r="AI7" s="84" t="s">
        <v>15</v>
      </c>
      <c r="AJ7" s="79" t="s">
        <v>15</v>
      </c>
      <c r="AK7" s="171" t="s">
        <v>15</v>
      </c>
      <c r="AL7" s="84" t="s">
        <v>15</v>
      </c>
      <c r="AM7" s="79" t="s">
        <v>15</v>
      </c>
      <c r="AN7" s="171" t="s">
        <v>15</v>
      </c>
      <c r="AO7" s="84" t="s">
        <v>15</v>
      </c>
      <c r="AP7" s="79" t="s">
        <v>15</v>
      </c>
      <c r="AQ7" s="171" t="s">
        <v>15</v>
      </c>
      <c r="AR7" s="84" t="s">
        <v>15</v>
      </c>
      <c r="AS7" s="79" t="s">
        <v>15</v>
      </c>
      <c r="AT7" s="171" t="s">
        <v>15</v>
      </c>
      <c r="AU7" s="84" t="s">
        <v>15</v>
      </c>
      <c r="AV7" s="79" t="s">
        <v>15</v>
      </c>
      <c r="AW7" s="171" t="s">
        <v>15</v>
      </c>
      <c r="AX7" s="84" t="s">
        <v>15</v>
      </c>
      <c r="AY7" s="79" t="s">
        <v>15</v>
      </c>
      <c r="AZ7" s="171" t="s">
        <v>15</v>
      </c>
      <c r="BA7" s="84" t="s">
        <v>15</v>
      </c>
      <c r="BB7" s="79" t="s">
        <v>15</v>
      </c>
      <c r="BC7" s="171" t="s">
        <v>15</v>
      </c>
      <c r="BD7" s="84" t="s">
        <v>15</v>
      </c>
      <c r="BE7" s="79" t="s">
        <v>15</v>
      </c>
      <c r="BF7" s="171" t="s">
        <v>15</v>
      </c>
      <c r="BG7" s="84" t="s">
        <v>15</v>
      </c>
      <c r="BH7" s="79" t="s">
        <v>15</v>
      </c>
      <c r="BI7" s="171" t="s">
        <v>15</v>
      </c>
    </row>
    <row r="8" spans="1:68" ht="14.95" customHeight="1" thickBot="1" x14ac:dyDescent="0.3">
      <c r="A8" s="43" t="s">
        <v>175</v>
      </c>
      <c r="B8" s="177">
        <v>0</v>
      </c>
      <c r="C8" s="368">
        <v>0</v>
      </c>
      <c r="D8" s="234">
        <v>0</v>
      </c>
      <c r="E8" s="60">
        <f t="shared" si="0"/>
        <v>0</v>
      </c>
      <c r="F8" s="73" t="s">
        <v>175</v>
      </c>
      <c r="G8" s="175">
        <v>0</v>
      </c>
      <c r="H8" s="257">
        <v>21</v>
      </c>
      <c r="I8" s="235">
        <v>20</v>
      </c>
      <c r="J8" s="76">
        <f t="shared" si="1"/>
        <v>41</v>
      </c>
      <c r="K8" s="50" t="s">
        <v>24</v>
      </c>
      <c r="L8" s="14" t="s">
        <v>15</v>
      </c>
      <c r="M8" s="14" t="s">
        <v>15</v>
      </c>
      <c r="N8" s="147" t="s">
        <v>15</v>
      </c>
      <c r="O8" s="14" t="s">
        <v>15</v>
      </c>
      <c r="P8" s="14" t="s">
        <v>15</v>
      </c>
      <c r="Q8" s="147" t="s">
        <v>15</v>
      </c>
      <c r="R8" s="60">
        <v>2</v>
      </c>
      <c r="S8" s="60">
        <v>-1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4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84">
        <v>2</v>
      </c>
      <c r="AJ8" s="79">
        <v>2</v>
      </c>
      <c r="AK8" s="171">
        <f t="shared" ref="AK8" si="6">(AI8/AJ8)*100</f>
        <v>100</v>
      </c>
      <c r="AL8" s="148" t="s">
        <v>15</v>
      </c>
      <c r="AM8" s="7" t="s">
        <v>15</v>
      </c>
      <c r="AN8" s="7" t="s">
        <v>15</v>
      </c>
      <c r="AO8" s="148" t="s">
        <v>15</v>
      </c>
      <c r="AP8" s="7" t="s">
        <v>15</v>
      </c>
      <c r="AQ8" s="7" t="s">
        <v>15</v>
      </c>
      <c r="AR8" s="148" t="s">
        <v>15</v>
      </c>
      <c r="AS8" s="7" t="s">
        <v>15</v>
      </c>
      <c r="AT8" s="7" t="s">
        <v>15</v>
      </c>
      <c r="AU8" s="148" t="s">
        <v>15</v>
      </c>
      <c r="AV8" s="7" t="s">
        <v>15</v>
      </c>
      <c r="AW8" s="7" t="s">
        <v>15</v>
      </c>
      <c r="AX8" s="6" t="s">
        <v>15</v>
      </c>
      <c r="AY8" s="7" t="s">
        <v>15</v>
      </c>
      <c r="AZ8" s="7" t="s">
        <v>15</v>
      </c>
      <c r="BA8" s="7" t="s">
        <v>15</v>
      </c>
      <c r="BB8" s="7" t="s">
        <v>15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  <c r="BI8" s="7" t="s">
        <v>15</v>
      </c>
    </row>
    <row r="9" spans="1:68" ht="14.95" customHeight="1" thickBot="1" x14ac:dyDescent="0.3">
      <c r="A9" s="43" t="s">
        <v>945</v>
      </c>
      <c r="B9" s="177">
        <v>0</v>
      </c>
      <c r="C9" s="368">
        <v>0</v>
      </c>
      <c r="D9" s="234">
        <v>0</v>
      </c>
      <c r="E9" s="60">
        <f t="shared" si="0"/>
        <v>0</v>
      </c>
      <c r="F9" s="74" t="s">
        <v>945</v>
      </c>
      <c r="G9" s="175">
        <v>0</v>
      </c>
      <c r="H9" s="257">
        <v>0</v>
      </c>
      <c r="I9" s="235">
        <v>0</v>
      </c>
      <c r="J9" s="76">
        <f t="shared" si="1"/>
        <v>0</v>
      </c>
      <c r="K9" s="50" t="s">
        <v>890</v>
      </c>
      <c r="L9" s="14" t="s">
        <v>15</v>
      </c>
      <c r="M9" s="14" t="s">
        <v>15</v>
      </c>
      <c r="N9" s="147" t="s">
        <v>15</v>
      </c>
      <c r="O9" s="14" t="s">
        <v>15</v>
      </c>
      <c r="P9" s="14" t="s">
        <v>15</v>
      </c>
      <c r="Q9" s="147" t="s">
        <v>15</v>
      </c>
      <c r="R9" s="60">
        <v>-1</v>
      </c>
      <c r="S9" s="60">
        <v>-1</v>
      </c>
      <c r="T9" s="148">
        <v>3</v>
      </c>
      <c r="U9" s="7">
        <v>5</v>
      </c>
      <c r="V9" s="153">
        <v>60</v>
      </c>
      <c r="W9" s="148" t="s">
        <v>15</v>
      </c>
      <c r="X9" s="7" t="s">
        <v>15</v>
      </c>
      <c r="Y9" s="153" t="s">
        <v>15</v>
      </c>
      <c r="Z9" s="94"/>
      <c r="AA9" s="94"/>
      <c r="AB9" s="197"/>
      <c r="AC9" s="148" t="s">
        <v>15</v>
      </c>
      <c r="AD9" s="7" t="s">
        <v>15</v>
      </c>
      <c r="AE9" s="153" t="s">
        <v>15</v>
      </c>
      <c r="AF9" s="148">
        <v>3</v>
      </c>
      <c r="AG9" s="7">
        <v>4</v>
      </c>
      <c r="AH9" s="153">
        <v>75</v>
      </c>
      <c r="AI9" s="148" t="s">
        <v>15</v>
      </c>
      <c r="AJ9" s="7" t="s">
        <v>15</v>
      </c>
      <c r="AK9" s="7" t="s">
        <v>15</v>
      </c>
      <c r="AL9" s="148" t="s">
        <v>15</v>
      </c>
      <c r="AM9" s="7" t="s">
        <v>15</v>
      </c>
      <c r="AN9" s="7" t="s">
        <v>15</v>
      </c>
      <c r="AO9" s="148" t="s">
        <v>15</v>
      </c>
      <c r="AP9" s="7" t="s">
        <v>15</v>
      </c>
      <c r="AQ9" s="7" t="s">
        <v>15</v>
      </c>
      <c r="AR9" s="148" t="s">
        <v>15</v>
      </c>
      <c r="AS9" s="7" t="s">
        <v>15</v>
      </c>
      <c r="AT9" s="7" t="s">
        <v>15</v>
      </c>
      <c r="AU9" s="148" t="s">
        <v>15</v>
      </c>
      <c r="AV9" s="7" t="s">
        <v>15</v>
      </c>
      <c r="AW9" s="7" t="s">
        <v>15</v>
      </c>
      <c r="AX9" s="6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  <c r="BF9" s="7" t="s">
        <v>15</v>
      </c>
      <c r="BG9" s="7" t="s">
        <v>15</v>
      </c>
      <c r="BH9" s="7" t="s">
        <v>15</v>
      </c>
      <c r="BI9" s="7" t="s">
        <v>15</v>
      </c>
    </row>
    <row r="10" spans="1:68" ht="14.95" customHeight="1" thickBot="1" x14ac:dyDescent="0.3">
      <c r="A10" s="43" t="s">
        <v>948</v>
      </c>
      <c r="B10" s="177">
        <v>0</v>
      </c>
      <c r="C10" s="368">
        <v>0</v>
      </c>
      <c r="D10" s="234">
        <v>0</v>
      </c>
      <c r="E10" s="60">
        <f t="shared" si="0"/>
        <v>0</v>
      </c>
      <c r="F10" s="74" t="s">
        <v>948</v>
      </c>
      <c r="G10" s="175">
        <v>0</v>
      </c>
      <c r="H10" s="257">
        <v>0</v>
      </c>
      <c r="I10" s="235">
        <v>0</v>
      </c>
      <c r="J10" s="76">
        <f t="shared" si="1"/>
        <v>0</v>
      </c>
      <c r="K10" s="47"/>
      <c r="L10" s="56"/>
    </row>
    <row r="11" spans="1:68" ht="14.95" customHeight="1" thickBot="1" x14ac:dyDescent="0.3">
      <c r="A11" s="43" t="s">
        <v>378</v>
      </c>
      <c r="B11" s="177">
        <v>1</v>
      </c>
      <c r="C11" s="368">
        <v>0</v>
      </c>
      <c r="D11" s="234">
        <v>0</v>
      </c>
      <c r="E11" s="60">
        <f t="shared" si="0"/>
        <v>1</v>
      </c>
      <c r="F11" s="74" t="s">
        <v>378</v>
      </c>
      <c r="G11" s="175">
        <v>5</v>
      </c>
      <c r="H11" s="257">
        <v>0</v>
      </c>
      <c r="I11" s="235">
        <v>0</v>
      </c>
      <c r="J11" s="76">
        <f t="shared" si="1"/>
        <v>5</v>
      </c>
      <c r="K11" s="492" t="s">
        <v>195</v>
      </c>
      <c r="L11" s="500" t="s">
        <v>14</v>
      </c>
      <c r="M11" s="501"/>
      <c r="N11" s="502"/>
      <c r="O11" s="465" t="s">
        <v>234</v>
      </c>
      <c r="P11" s="466"/>
      <c r="Q11" s="467"/>
      <c r="R11" s="457" t="s">
        <v>903</v>
      </c>
      <c r="S11" s="458"/>
      <c r="T11" s="459"/>
      <c r="U11" s="457" t="s">
        <v>601</v>
      </c>
      <c r="V11" s="458"/>
      <c r="W11" s="459"/>
      <c r="X11" s="160"/>
      <c r="Y11" s="160"/>
      <c r="Z11" s="160"/>
      <c r="AC11" s="465" t="s">
        <v>494</v>
      </c>
      <c r="AD11" s="466"/>
      <c r="AE11" s="467"/>
      <c r="AF11" s="465" t="s">
        <v>407</v>
      </c>
      <c r="AG11" s="466"/>
      <c r="AH11" s="467"/>
      <c r="AI11" s="457" t="s">
        <v>313</v>
      </c>
      <c r="AJ11" s="458"/>
      <c r="AK11" s="459"/>
      <c r="AL11" s="457" t="s">
        <v>227</v>
      </c>
      <c r="AM11" s="458"/>
      <c r="AN11" s="459"/>
      <c r="AO11" s="457" t="s">
        <v>172</v>
      </c>
      <c r="AP11" s="458"/>
      <c r="AQ11" s="459"/>
      <c r="AR11" s="457" t="s">
        <v>79</v>
      </c>
      <c r="AS11" s="458"/>
      <c r="AT11" s="459"/>
      <c r="AU11" s="457" t="s">
        <v>54</v>
      </c>
      <c r="AV11" s="458"/>
      <c r="AW11" s="459"/>
      <c r="AX11" s="457" t="s">
        <v>50</v>
      </c>
      <c r="AY11" s="458"/>
      <c r="AZ11" s="459"/>
      <c r="BA11" s="457" t="s">
        <v>37</v>
      </c>
      <c r="BB11" s="458"/>
      <c r="BC11" s="459"/>
    </row>
    <row r="12" spans="1:68" ht="14.95" customHeight="1" thickBot="1" x14ac:dyDescent="0.3">
      <c r="A12" s="43" t="s">
        <v>946</v>
      </c>
      <c r="B12" s="177">
        <v>0</v>
      </c>
      <c r="C12" s="368">
        <v>0</v>
      </c>
      <c r="D12" s="234">
        <v>0</v>
      </c>
      <c r="E12" s="60">
        <f t="shared" si="0"/>
        <v>0</v>
      </c>
      <c r="F12" s="74" t="s">
        <v>946</v>
      </c>
      <c r="G12" s="175">
        <v>0</v>
      </c>
      <c r="H12" s="257">
        <v>0</v>
      </c>
      <c r="I12" s="235">
        <v>0</v>
      </c>
      <c r="J12" s="76">
        <f t="shared" si="1"/>
        <v>0</v>
      </c>
      <c r="K12" s="493"/>
      <c r="L12" s="503"/>
      <c r="M12" s="504"/>
      <c r="N12" s="505"/>
      <c r="O12" s="468"/>
      <c r="P12" s="469"/>
      <c r="Q12" s="470"/>
      <c r="R12" s="460"/>
      <c r="S12" s="461"/>
      <c r="T12" s="462"/>
      <c r="U12" s="460"/>
      <c r="V12" s="461"/>
      <c r="W12" s="462"/>
      <c r="X12" s="160"/>
      <c r="Y12" s="160"/>
      <c r="Z12" s="160"/>
      <c r="AC12" s="468"/>
      <c r="AD12" s="469"/>
      <c r="AE12" s="470"/>
      <c r="AF12" s="468"/>
      <c r="AG12" s="469"/>
      <c r="AH12" s="470"/>
      <c r="AI12" s="460"/>
      <c r="AJ12" s="461"/>
      <c r="AK12" s="462"/>
      <c r="AL12" s="460"/>
      <c r="AM12" s="461"/>
      <c r="AN12" s="462"/>
      <c r="AO12" s="460"/>
      <c r="AP12" s="461"/>
      <c r="AQ12" s="462"/>
      <c r="AR12" s="460"/>
      <c r="AS12" s="461"/>
      <c r="AT12" s="462"/>
      <c r="AU12" s="460"/>
      <c r="AV12" s="461"/>
      <c r="AW12" s="462"/>
      <c r="AX12" s="460"/>
      <c r="AY12" s="461"/>
      <c r="AZ12" s="462"/>
      <c r="BA12" s="460"/>
      <c r="BB12" s="461"/>
      <c r="BC12" s="462"/>
    </row>
    <row r="13" spans="1:68" ht="14.95" customHeight="1" thickBot="1" x14ac:dyDescent="0.3">
      <c r="A13" s="43" t="s">
        <v>222</v>
      </c>
      <c r="B13" s="177">
        <v>0</v>
      </c>
      <c r="C13" s="368">
        <v>0</v>
      </c>
      <c r="D13" s="234">
        <v>0</v>
      </c>
      <c r="E13" s="60">
        <f t="shared" si="0"/>
        <v>0</v>
      </c>
      <c r="F13" s="74" t="s">
        <v>222</v>
      </c>
      <c r="G13" s="175">
        <v>48</v>
      </c>
      <c r="H13" s="257">
        <v>14</v>
      </c>
      <c r="I13" s="235">
        <v>6</v>
      </c>
      <c r="J13" s="76">
        <f t="shared" si="1"/>
        <v>68</v>
      </c>
      <c r="K13" s="252" t="s">
        <v>21</v>
      </c>
      <c r="L13" s="247" t="s">
        <v>46</v>
      </c>
      <c r="M13" s="247" t="s">
        <v>9</v>
      </c>
      <c r="N13" s="247" t="s">
        <v>10</v>
      </c>
      <c r="O13" s="79" t="s">
        <v>46</v>
      </c>
      <c r="P13" s="79" t="s">
        <v>9</v>
      </c>
      <c r="Q13" s="79" t="s">
        <v>10</v>
      </c>
      <c r="R13" s="79" t="s">
        <v>46</v>
      </c>
      <c r="S13" s="79" t="s">
        <v>9</v>
      </c>
      <c r="T13" s="79" t="s">
        <v>10</v>
      </c>
      <c r="U13" s="79" t="s">
        <v>46</v>
      </c>
      <c r="V13" s="79" t="s">
        <v>9</v>
      </c>
      <c r="W13" s="79" t="s">
        <v>10</v>
      </c>
      <c r="AC13" s="84" t="s">
        <v>46</v>
      </c>
      <c r="AD13" s="79" t="s">
        <v>9</v>
      </c>
      <c r="AE13" s="79" t="s">
        <v>10</v>
      </c>
      <c r="AF13" s="84" t="s">
        <v>46</v>
      </c>
      <c r="AG13" s="79" t="s">
        <v>9</v>
      </c>
      <c r="AH13" s="79" t="s">
        <v>10</v>
      </c>
      <c r="AI13" s="148" t="s">
        <v>46</v>
      </c>
      <c r="AJ13" s="7" t="s">
        <v>9</v>
      </c>
      <c r="AK13" s="7" t="s">
        <v>10</v>
      </c>
      <c r="AL13" s="148" t="s">
        <v>46</v>
      </c>
      <c r="AM13" s="7" t="s">
        <v>9</v>
      </c>
      <c r="AN13" s="7" t="s">
        <v>10</v>
      </c>
      <c r="AO13" s="148" t="s">
        <v>46</v>
      </c>
      <c r="AP13" s="7" t="s">
        <v>9</v>
      </c>
      <c r="AQ13" s="7" t="s">
        <v>10</v>
      </c>
      <c r="AR13" s="148" t="s">
        <v>46</v>
      </c>
      <c r="AS13" s="7" t="s">
        <v>9</v>
      </c>
      <c r="AT13" s="7" t="s">
        <v>10</v>
      </c>
      <c r="AU13" s="148" t="s">
        <v>46</v>
      </c>
      <c r="AV13" s="7" t="s">
        <v>9</v>
      </c>
      <c r="AW13" s="7" t="s">
        <v>10</v>
      </c>
      <c r="AX13" s="148" t="s">
        <v>46</v>
      </c>
      <c r="AY13" s="7" t="s">
        <v>9</v>
      </c>
      <c r="AZ13" s="7" t="s">
        <v>10</v>
      </c>
      <c r="BA13" s="148" t="s">
        <v>11</v>
      </c>
      <c r="BB13" s="7" t="s">
        <v>9</v>
      </c>
      <c r="BC13" s="7" t="s">
        <v>10</v>
      </c>
    </row>
    <row r="14" spans="1:68" ht="14.95" customHeight="1" thickBot="1" x14ac:dyDescent="0.3">
      <c r="A14" s="43" t="s">
        <v>852</v>
      </c>
      <c r="B14" s="177">
        <v>0</v>
      </c>
      <c r="C14" s="368">
        <v>0</v>
      </c>
      <c r="D14" s="234">
        <v>0</v>
      </c>
      <c r="E14" s="60">
        <f t="shared" si="0"/>
        <v>0</v>
      </c>
      <c r="F14" s="74" t="s">
        <v>852</v>
      </c>
      <c r="G14" s="175">
        <v>0</v>
      </c>
      <c r="H14" s="257">
        <v>0</v>
      </c>
      <c r="I14" s="235">
        <v>0</v>
      </c>
      <c r="J14" s="76">
        <f t="shared" si="1"/>
        <v>0</v>
      </c>
      <c r="K14" s="50" t="s">
        <v>558</v>
      </c>
      <c r="L14" s="60" t="s">
        <v>15</v>
      </c>
      <c r="M14" s="60" t="s">
        <v>15</v>
      </c>
      <c r="N14" s="25" t="s">
        <v>15</v>
      </c>
      <c r="O14" s="7" t="s">
        <v>15</v>
      </c>
      <c r="P14" s="7" t="s">
        <v>15</v>
      </c>
      <c r="Q14" s="153" t="s">
        <v>15</v>
      </c>
      <c r="R14" s="148" t="s">
        <v>15</v>
      </c>
      <c r="S14" s="7" t="s">
        <v>15</v>
      </c>
      <c r="T14" s="153" t="s">
        <v>15</v>
      </c>
      <c r="U14" s="7">
        <v>10</v>
      </c>
      <c r="V14" s="7">
        <v>10</v>
      </c>
      <c r="W14" s="153">
        <v>100</v>
      </c>
      <c r="AC14" s="148">
        <v>1</v>
      </c>
      <c r="AD14" s="7">
        <v>1</v>
      </c>
      <c r="AE14" s="153">
        <f>SUM(AC14/AD14)*100</f>
        <v>100</v>
      </c>
      <c r="AF14" s="148">
        <v>1</v>
      </c>
      <c r="AG14" s="7">
        <v>1</v>
      </c>
      <c r="AH14" s="153">
        <f>SUM(AF14/AG14)*100</f>
        <v>100</v>
      </c>
      <c r="AI14" s="148" t="s">
        <v>15</v>
      </c>
      <c r="AJ14" s="7" t="s">
        <v>15</v>
      </c>
      <c r="AK14" s="153" t="s">
        <v>15</v>
      </c>
      <c r="AL14" s="148" t="s">
        <v>15</v>
      </c>
      <c r="AM14" s="7" t="s">
        <v>15</v>
      </c>
      <c r="AN14" s="153" t="s">
        <v>15</v>
      </c>
      <c r="AO14" s="148" t="s">
        <v>15</v>
      </c>
      <c r="AP14" s="7" t="s">
        <v>15</v>
      </c>
      <c r="AQ14" s="153" t="s">
        <v>15</v>
      </c>
      <c r="AR14" s="148" t="s">
        <v>15</v>
      </c>
      <c r="AS14" s="7" t="s">
        <v>15</v>
      </c>
      <c r="AT14" s="153" t="s">
        <v>15</v>
      </c>
      <c r="AU14" s="148" t="s">
        <v>15</v>
      </c>
      <c r="AV14" s="7" t="s">
        <v>15</v>
      </c>
      <c r="AW14" s="153" t="s">
        <v>15</v>
      </c>
      <c r="AX14" s="148" t="s">
        <v>15</v>
      </c>
      <c r="AY14" s="7" t="s">
        <v>15</v>
      </c>
      <c r="AZ14" s="153" t="s">
        <v>15</v>
      </c>
      <c r="BA14" s="148" t="s">
        <v>15</v>
      </c>
      <c r="BB14" s="7" t="s">
        <v>15</v>
      </c>
      <c r="BC14" s="153" t="s">
        <v>15</v>
      </c>
    </row>
    <row r="15" spans="1:68" ht="14.95" customHeight="1" thickBot="1" x14ac:dyDescent="0.3">
      <c r="A15" s="43" t="s">
        <v>939</v>
      </c>
      <c r="B15" s="177">
        <v>0</v>
      </c>
      <c r="C15" s="368">
        <v>0</v>
      </c>
      <c r="D15" s="234">
        <v>1</v>
      </c>
      <c r="E15" s="60">
        <f t="shared" si="0"/>
        <v>1</v>
      </c>
      <c r="F15" s="74" t="s">
        <v>939</v>
      </c>
      <c r="G15" s="175">
        <v>0</v>
      </c>
      <c r="H15" s="257">
        <v>0</v>
      </c>
      <c r="I15" s="235">
        <v>5</v>
      </c>
      <c r="J15" s="76">
        <f t="shared" si="1"/>
        <v>5</v>
      </c>
      <c r="K15" s="50" t="s">
        <v>175</v>
      </c>
      <c r="L15" s="60">
        <v>8</v>
      </c>
      <c r="M15" s="60">
        <v>9</v>
      </c>
      <c r="N15" s="25">
        <f t="shared" ref="N15" si="7">SUM(L15/M15)*100</f>
        <v>88.888888888888886</v>
      </c>
      <c r="O15" s="7" t="s">
        <v>15</v>
      </c>
      <c r="P15" s="7" t="s">
        <v>15</v>
      </c>
      <c r="Q15" s="153" t="s">
        <v>15</v>
      </c>
      <c r="R15" s="148" t="s">
        <v>15</v>
      </c>
      <c r="S15" s="7" t="s">
        <v>15</v>
      </c>
      <c r="T15" s="153" t="s">
        <v>15</v>
      </c>
      <c r="U15" s="79">
        <v>4</v>
      </c>
      <c r="V15" s="79">
        <v>6</v>
      </c>
      <c r="W15" s="171">
        <v>66.666666666666657</v>
      </c>
      <c r="AC15" s="84" t="s">
        <v>15</v>
      </c>
      <c r="AD15" s="79" t="s">
        <v>15</v>
      </c>
      <c r="AE15" s="171" t="s">
        <v>15</v>
      </c>
      <c r="AF15" s="84">
        <v>6</v>
      </c>
      <c r="AG15" s="79">
        <v>6</v>
      </c>
      <c r="AH15" s="171">
        <f t="shared" ref="AH15" si="8">(AF15/AG15)*100</f>
        <v>100</v>
      </c>
      <c r="AI15" s="148" t="s">
        <v>15</v>
      </c>
      <c r="AJ15" s="7" t="s">
        <v>15</v>
      </c>
      <c r="AK15" s="153" t="s">
        <v>15</v>
      </c>
      <c r="AL15" s="148">
        <v>3</v>
      </c>
      <c r="AM15" s="7">
        <v>5</v>
      </c>
      <c r="AN15" s="153">
        <f>SUM(AL15/AM15)*100</f>
        <v>60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148" t="s">
        <v>15</v>
      </c>
      <c r="AV15" s="7" t="s">
        <v>15</v>
      </c>
      <c r="AW15" s="7" t="s">
        <v>15</v>
      </c>
      <c r="AX15" s="148" t="s">
        <v>15</v>
      </c>
      <c r="AY15" s="7" t="s">
        <v>15</v>
      </c>
      <c r="AZ15" s="7" t="s">
        <v>15</v>
      </c>
      <c r="BA15" s="148">
        <v>6</v>
      </c>
      <c r="BB15" s="7">
        <v>9</v>
      </c>
      <c r="BC15" s="153">
        <f>SUM(BA15/BB15)*100</f>
        <v>66.666666666666657</v>
      </c>
    </row>
    <row r="16" spans="1:68" ht="14.95" customHeight="1" thickBot="1" x14ac:dyDescent="0.3">
      <c r="A16" s="43" t="s">
        <v>25</v>
      </c>
      <c r="B16" s="177">
        <v>1</v>
      </c>
      <c r="C16" s="368">
        <v>0</v>
      </c>
      <c r="D16" s="234">
        <v>0</v>
      </c>
      <c r="E16" s="60">
        <f t="shared" si="0"/>
        <v>1</v>
      </c>
      <c r="F16" s="74" t="s">
        <v>25</v>
      </c>
      <c r="G16" s="175">
        <v>5</v>
      </c>
      <c r="H16" s="257">
        <v>0</v>
      </c>
      <c r="I16" s="235">
        <v>0</v>
      </c>
      <c r="J16" s="76">
        <f t="shared" si="1"/>
        <v>5</v>
      </c>
      <c r="K16" s="50" t="s">
        <v>1035</v>
      </c>
      <c r="L16" s="60">
        <v>6</v>
      </c>
      <c r="M16" s="60">
        <v>6</v>
      </c>
      <c r="N16" s="25">
        <f t="shared" ref="N16" si="9">SUM(L16/M16)*100</f>
        <v>100</v>
      </c>
      <c r="O16" s="7">
        <v>4</v>
      </c>
      <c r="P16" s="7">
        <v>6</v>
      </c>
      <c r="Q16" s="153">
        <v>66.666666666666657</v>
      </c>
      <c r="R16" s="148">
        <v>16</v>
      </c>
      <c r="S16" s="7">
        <v>21</v>
      </c>
      <c r="T16" s="153">
        <v>76.19047619047619</v>
      </c>
      <c r="U16" s="148">
        <v>32</v>
      </c>
      <c r="V16" s="7">
        <v>37</v>
      </c>
      <c r="W16" s="153">
        <v>86.486486486486484</v>
      </c>
      <c r="AC16" s="84">
        <v>21</v>
      </c>
      <c r="AD16" s="79">
        <v>24</v>
      </c>
      <c r="AE16" s="171">
        <v>87.5</v>
      </c>
      <c r="AF16" s="84">
        <v>19</v>
      </c>
      <c r="AG16" s="79">
        <v>24</v>
      </c>
      <c r="AH16" s="171">
        <v>79.166666666666657</v>
      </c>
      <c r="AI16" s="97">
        <v>16</v>
      </c>
      <c r="AJ16" s="79">
        <v>20</v>
      </c>
      <c r="AK16" s="171">
        <v>80</v>
      </c>
      <c r="AL16" s="97">
        <v>16</v>
      </c>
      <c r="AM16" s="79">
        <v>21</v>
      </c>
      <c r="AN16" s="171">
        <v>76.19047619047619</v>
      </c>
      <c r="AO16" s="79">
        <v>8</v>
      </c>
      <c r="AP16" s="79">
        <v>13</v>
      </c>
      <c r="AQ16" s="171">
        <v>61.53846153846154</v>
      </c>
      <c r="AR16" s="79">
        <v>8</v>
      </c>
      <c r="AS16" s="79">
        <v>12</v>
      </c>
      <c r="AT16" s="171">
        <v>66.666666666666657</v>
      </c>
      <c r="AU16" s="79" t="s">
        <v>15</v>
      </c>
      <c r="AV16" s="79" t="s">
        <v>15</v>
      </c>
      <c r="AW16" s="171" t="s">
        <v>15</v>
      </c>
      <c r="AX16" s="79" t="s">
        <v>15</v>
      </c>
      <c r="AY16" s="79" t="s">
        <v>15</v>
      </c>
      <c r="AZ16" s="171" t="s">
        <v>15</v>
      </c>
      <c r="BA16" s="79" t="s">
        <v>15</v>
      </c>
      <c r="BB16" s="79" t="s">
        <v>15</v>
      </c>
      <c r="BC16" s="171" t="s">
        <v>15</v>
      </c>
    </row>
    <row r="17" spans="1:55" ht="14.95" customHeight="1" thickBot="1" x14ac:dyDescent="0.3">
      <c r="A17" s="43" t="s">
        <v>346</v>
      </c>
      <c r="B17" s="177">
        <v>2</v>
      </c>
      <c r="C17" s="368">
        <v>1</v>
      </c>
      <c r="D17" s="234">
        <v>0</v>
      </c>
      <c r="E17" s="60">
        <f t="shared" si="0"/>
        <v>3</v>
      </c>
      <c r="F17" s="74" t="s">
        <v>346</v>
      </c>
      <c r="G17" s="175">
        <v>10</v>
      </c>
      <c r="H17" s="257">
        <v>5</v>
      </c>
      <c r="I17" s="235">
        <v>0</v>
      </c>
      <c r="J17" s="76">
        <f t="shared" si="1"/>
        <v>15</v>
      </c>
      <c r="K17" s="50" t="s">
        <v>24</v>
      </c>
      <c r="L17" s="60" t="s">
        <v>15</v>
      </c>
      <c r="M17" s="60" t="s">
        <v>15</v>
      </c>
      <c r="N17" s="25" t="s">
        <v>15</v>
      </c>
      <c r="O17" s="7" t="s">
        <v>15</v>
      </c>
      <c r="P17" s="7" t="s">
        <v>15</v>
      </c>
      <c r="Q17" s="153" t="s">
        <v>15</v>
      </c>
      <c r="R17" s="79" t="s">
        <v>15</v>
      </c>
      <c r="S17" s="79" t="s">
        <v>15</v>
      </c>
      <c r="T17" s="171" t="s">
        <v>15</v>
      </c>
      <c r="U17" s="79" t="s">
        <v>15</v>
      </c>
      <c r="V17" s="79" t="s">
        <v>15</v>
      </c>
      <c r="W17" s="171" t="s">
        <v>15</v>
      </c>
      <c r="AC17" s="84" t="s">
        <v>15</v>
      </c>
      <c r="AD17" s="79" t="s">
        <v>15</v>
      </c>
      <c r="AE17" s="171" t="s">
        <v>15</v>
      </c>
      <c r="AF17" s="84">
        <v>0</v>
      </c>
      <c r="AG17" s="79">
        <v>1</v>
      </c>
      <c r="AH17" s="171">
        <f t="shared" ref="AH17" si="10">(AF17/AG17)*100</f>
        <v>0</v>
      </c>
      <c r="AI17" s="148" t="s">
        <v>15</v>
      </c>
      <c r="AJ17" s="7" t="s">
        <v>15</v>
      </c>
      <c r="AK17" s="7" t="s">
        <v>15</v>
      </c>
      <c r="AL17" s="148" t="s">
        <v>15</v>
      </c>
      <c r="AM17" s="7" t="s">
        <v>15</v>
      </c>
      <c r="AN17" s="7" t="s">
        <v>15</v>
      </c>
      <c r="AO17" s="148" t="s">
        <v>15</v>
      </c>
      <c r="AP17" s="7" t="s">
        <v>15</v>
      </c>
      <c r="AQ17" s="7" t="s">
        <v>15</v>
      </c>
      <c r="AR17" s="148" t="s">
        <v>15</v>
      </c>
      <c r="AS17" s="7" t="s">
        <v>15</v>
      </c>
      <c r="AT17" s="7" t="s">
        <v>15</v>
      </c>
      <c r="AU17" s="148" t="s">
        <v>15</v>
      </c>
      <c r="AV17" s="7" t="s">
        <v>15</v>
      </c>
      <c r="AW17" s="7" t="s">
        <v>15</v>
      </c>
      <c r="AX17" s="148" t="s">
        <v>15</v>
      </c>
      <c r="AY17" s="7" t="s">
        <v>15</v>
      </c>
      <c r="AZ17" s="7" t="s">
        <v>15</v>
      </c>
      <c r="BA17" s="7" t="s">
        <v>15</v>
      </c>
      <c r="BB17" s="7" t="s">
        <v>15</v>
      </c>
      <c r="BC17" s="7" t="s">
        <v>15</v>
      </c>
    </row>
    <row r="18" spans="1:55" ht="14.95" customHeight="1" thickBot="1" x14ac:dyDescent="0.3">
      <c r="A18" s="43" t="s">
        <v>883</v>
      </c>
      <c r="B18" s="177">
        <v>0</v>
      </c>
      <c r="C18" s="368">
        <v>0</v>
      </c>
      <c r="D18" s="234">
        <v>1</v>
      </c>
      <c r="E18" s="60">
        <f t="shared" si="0"/>
        <v>1</v>
      </c>
      <c r="F18" s="74" t="s">
        <v>883</v>
      </c>
      <c r="G18" s="175">
        <v>0</v>
      </c>
      <c r="H18" s="257">
        <v>0</v>
      </c>
      <c r="I18" s="235">
        <v>5</v>
      </c>
      <c r="J18" s="76">
        <f t="shared" si="1"/>
        <v>5</v>
      </c>
      <c r="K18" s="50" t="s">
        <v>890</v>
      </c>
      <c r="L18" s="60" t="s">
        <v>15</v>
      </c>
      <c r="M18" s="60" t="s">
        <v>15</v>
      </c>
      <c r="N18" s="25" t="s">
        <v>15</v>
      </c>
      <c r="O18" s="7" t="s">
        <v>15</v>
      </c>
      <c r="P18" s="7" t="s">
        <v>15</v>
      </c>
      <c r="Q18" s="153" t="s">
        <v>15</v>
      </c>
      <c r="R18" s="79" t="s">
        <v>15</v>
      </c>
      <c r="S18" s="79" t="s">
        <v>15</v>
      </c>
      <c r="T18" s="171" t="s">
        <v>15</v>
      </c>
      <c r="U18" s="79" t="s">
        <v>15</v>
      </c>
      <c r="V18" s="79" t="s">
        <v>15</v>
      </c>
      <c r="W18" s="171" t="s">
        <v>15</v>
      </c>
      <c r="AC18" s="84">
        <v>1</v>
      </c>
      <c r="AD18" s="79">
        <v>3</v>
      </c>
      <c r="AE18" s="171">
        <v>33</v>
      </c>
      <c r="AF18" s="148" t="s">
        <v>15</v>
      </c>
      <c r="AG18" s="7" t="s">
        <v>15</v>
      </c>
      <c r="AH18" s="7" t="s">
        <v>15</v>
      </c>
      <c r="AI18" s="148" t="s">
        <v>15</v>
      </c>
      <c r="AJ18" s="7" t="s">
        <v>15</v>
      </c>
      <c r="AK18" s="7" t="s">
        <v>15</v>
      </c>
      <c r="AL18" s="148" t="s">
        <v>15</v>
      </c>
      <c r="AM18" s="7" t="s">
        <v>15</v>
      </c>
      <c r="AN18" s="7" t="s">
        <v>15</v>
      </c>
      <c r="AO18" s="148" t="s">
        <v>15</v>
      </c>
      <c r="AP18" s="7" t="s">
        <v>15</v>
      </c>
      <c r="AQ18" s="7" t="s">
        <v>15</v>
      </c>
      <c r="AR18" s="148" t="s">
        <v>15</v>
      </c>
      <c r="AS18" s="7" t="s">
        <v>15</v>
      </c>
      <c r="AT18" s="7" t="s">
        <v>15</v>
      </c>
      <c r="AU18" s="148" t="s">
        <v>15</v>
      </c>
      <c r="AV18" s="7" t="s">
        <v>15</v>
      </c>
      <c r="AW18" s="7" t="s">
        <v>15</v>
      </c>
      <c r="AX18" s="148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7" t="s">
        <v>15</v>
      </c>
    </row>
    <row r="19" spans="1:55" ht="14.95" customHeight="1" thickBot="1" x14ac:dyDescent="0.3">
      <c r="A19" s="43" t="s">
        <v>938</v>
      </c>
      <c r="B19" s="177">
        <v>0</v>
      </c>
      <c r="C19" s="368">
        <v>0</v>
      </c>
      <c r="D19" s="234">
        <v>1</v>
      </c>
      <c r="E19" s="60">
        <f t="shared" si="0"/>
        <v>1</v>
      </c>
      <c r="F19" s="74" t="s">
        <v>938</v>
      </c>
      <c r="G19" s="175">
        <v>0</v>
      </c>
      <c r="H19" s="257">
        <v>0</v>
      </c>
      <c r="I19" s="235">
        <v>5</v>
      </c>
      <c r="J19" s="76">
        <f t="shared" si="1"/>
        <v>5</v>
      </c>
    </row>
    <row r="20" spans="1:55" ht="14.95" customHeight="1" thickBot="1" x14ac:dyDescent="0.3">
      <c r="A20" s="43" t="s">
        <v>907</v>
      </c>
      <c r="B20" s="177">
        <v>1</v>
      </c>
      <c r="C20" s="368">
        <v>0</v>
      </c>
      <c r="D20" s="234">
        <v>1</v>
      </c>
      <c r="E20" s="60">
        <f t="shared" si="0"/>
        <v>2</v>
      </c>
      <c r="F20" s="74" t="s">
        <v>907</v>
      </c>
      <c r="G20" s="175">
        <v>5</v>
      </c>
      <c r="H20" s="257">
        <v>0</v>
      </c>
      <c r="I20" s="235">
        <v>5</v>
      </c>
      <c r="J20" s="76">
        <f t="shared" si="1"/>
        <v>10</v>
      </c>
      <c r="K20" s="487" t="s">
        <v>196</v>
      </c>
      <c r="L20" s="465" t="s">
        <v>14</v>
      </c>
      <c r="M20" s="466"/>
      <c r="N20" s="467"/>
      <c r="O20" s="457" t="s">
        <v>234</v>
      </c>
      <c r="P20" s="458"/>
      <c r="Q20" s="459"/>
      <c r="R20" s="465" t="s">
        <v>903</v>
      </c>
      <c r="S20" s="466"/>
      <c r="T20" s="467"/>
      <c r="U20" s="465" t="s">
        <v>601</v>
      </c>
      <c r="V20" s="466"/>
      <c r="W20" s="467"/>
      <c r="AC20" s="465" t="s">
        <v>494</v>
      </c>
      <c r="AD20" s="466"/>
      <c r="AE20" s="467"/>
      <c r="AF20" s="465" t="s">
        <v>407</v>
      </c>
      <c r="AG20" s="466"/>
      <c r="AH20" s="467"/>
      <c r="AI20" s="457" t="s">
        <v>313</v>
      </c>
      <c r="AJ20" s="458"/>
      <c r="AK20" s="459"/>
      <c r="AL20" s="457" t="s">
        <v>227</v>
      </c>
      <c r="AM20" s="458"/>
      <c r="AN20" s="459"/>
      <c r="AO20" s="457" t="s">
        <v>172</v>
      </c>
      <c r="AP20" s="458"/>
      <c r="AQ20" s="459"/>
      <c r="AR20" s="457" t="s">
        <v>79</v>
      </c>
      <c r="AS20" s="458"/>
      <c r="AT20" s="459"/>
      <c r="AU20" s="457" t="s">
        <v>54</v>
      </c>
      <c r="AV20" s="458"/>
      <c r="AW20" s="459"/>
      <c r="AX20" s="457" t="s">
        <v>50</v>
      </c>
      <c r="AY20" s="458"/>
      <c r="AZ20" s="459"/>
      <c r="BA20" s="457" t="s">
        <v>37</v>
      </c>
      <c r="BB20" s="458"/>
      <c r="BC20" s="459"/>
    </row>
    <row r="21" spans="1:55" ht="14.95" customHeight="1" thickBot="1" x14ac:dyDescent="0.3">
      <c r="A21" s="43" t="s">
        <v>657</v>
      </c>
      <c r="B21" s="177">
        <v>0</v>
      </c>
      <c r="C21" s="368">
        <v>0</v>
      </c>
      <c r="D21" s="234">
        <v>0</v>
      </c>
      <c r="E21" s="60">
        <f t="shared" si="0"/>
        <v>0</v>
      </c>
      <c r="F21" s="74" t="s">
        <v>657</v>
      </c>
      <c r="G21" s="175">
        <v>0</v>
      </c>
      <c r="H21" s="257">
        <v>0</v>
      </c>
      <c r="I21" s="235">
        <v>0</v>
      </c>
      <c r="J21" s="76">
        <f t="shared" si="1"/>
        <v>0</v>
      </c>
      <c r="K21" s="488"/>
      <c r="L21" s="468"/>
      <c r="M21" s="469"/>
      <c r="N21" s="470"/>
      <c r="O21" s="460"/>
      <c r="P21" s="461"/>
      <c r="Q21" s="462"/>
      <c r="R21" s="468"/>
      <c r="S21" s="469"/>
      <c r="T21" s="470"/>
      <c r="U21" s="468"/>
      <c r="V21" s="469"/>
      <c r="W21" s="470"/>
      <c r="AC21" s="468"/>
      <c r="AD21" s="469"/>
      <c r="AE21" s="470"/>
      <c r="AF21" s="468"/>
      <c r="AG21" s="469"/>
      <c r="AH21" s="470"/>
      <c r="AI21" s="460"/>
      <c r="AJ21" s="461"/>
      <c r="AK21" s="462"/>
      <c r="AL21" s="460"/>
      <c r="AM21" s="461"/>
      <c r="AN21" s="462"/>
      <c r="AO21" s="460"/>
      <c r="AP21" s="461"/>
      <c r="AQ21" s="462"/>
      <c r="AR21" s="460"/>
      <c r="AS21" s="461"/>
      <c r="AT21" s="462"/>
      <c r="AU21" s="460"/>
      <c r="AV21" s="461"/>
      <c r="AW21" s="462"/>
      <c r="AX21" s="460"/>
      <c r="AY21" s="461"/>
      <c r="AZ21" s="462"/>
      <c r="BA21" s="460"/>
      <c r="BB21" s="461"/>
      <c r="BC21" s="462"/>
    </row>
    <row r="22" spans="1:55" ht="14.95" customHeight="1" thickBot="1" x14ac:dyDescent="0.3">
      <c r="A22" s="43" t="s">
        <v>590</v>
      </c>
      <c r="B22" s="177">
        <v>0</v>
      </c>
      <c r="C22" s="368">
        <v>0</v>
      </c>
      <c r="D22" s="234">
        <v>0</v>
      </c>
      <c r="E22" s="60">
        <f t="shared" si="0"/>
        <v>0</v>
      </c>
      <c r="F22" s="74" t="s">
        <v>590</v>
      </c>
      <c r="G22" s="175">
        <v>0</v>
      </c>
      <c r="H22" s="257">
        <v>0</v>
      </c>
      <c r="I22" s="235">
        <v>0</v>
      </c>
      <c r="J22" s="76">
        <f t="shared" si="1"/>
        <v>0</v>
      </c>
      <c r="K22" s="287" t="s">
        <v>21</v>
      </c>
      <c r="L22" s="79" t="s">
        <v>46</v>
      </c>
      <c r="M22" s="79" t="s">
        <v>9</v>
      </c>
      <c r="N22" s="79" t="s">
        <v>10</v>
      </c>
      <c r="O22" s="7" t="s">
        <v>46</v>
      </c>
      <c r="P22" s="7" t="s">
        <v>9</v>
      </c>
      <c r="Q22" s="7" t="s">
        <v>10</v>
      </c>
      <c r="R22" s="79" t="s">
        <v>46</v>
      </c>
      <c r="S22" s="79" t="s">
        <v>9</v>
      </c>
      <c r="T22" s="79" t="s">
        <v>10</v>
      </c>
      <c r="U22" s="79" t="s">
        <v>46</v>
      </c>
      <c r="V22" s="79" t="s">
        <v>9</v>
      </c>
      <c r="W22" s="79" t="s">
        <v>10</v>
      </c>
      <c r="AC22" s="84" t="s">
        <v>46</v>
      </c>
      <c r="AD22" s="79" t="s">
        <v>9</v>
      </c>
      <c r="AE22" s="79" t="s">
        <v>10</v>
      </c>
      <c r="AF22" s="84" t="s">
        <v>46</v>
      </c>
      <c r="AG22" s="79" t="s">
        <v>9</v>
      </c>
      <c r="AH22" s="79" t="s">
        <v>10</v>
      </c>
      <c r="AI22" s="148" t="s">
        <v>46</v>
      </c>
      <c r="AJ22" s="7" t="s">
        <v>9</v>
      </c>
      <c r="AK22" s="7" t="s">
        <v>10</v>
      </c>
      <c r="AL22" s="148" t="s">
        <v>46</v>
      </c>
      <c r="AM22" s="7" t="s">
        <v>9</v>
      </c>
      <c r="AN22" s="7" t="s">
        <v>10</v>
      </c>
      <c r="AO22" s="148" t="s">
        <v>46</v>
      </c>
      <c r="AP22" s="7" t="s">
        <v>9</v>
      </c>
      <c r="AQ22" s="7" t="s">
        <v>10</v>
      </c>
      <c r="AR22" s="148" t="s">
        <v>46</v>
      </c>
      <c r="AS22" s="7" t="s">
        <v>9</v>
      </c>
      <c r="AT22" s="7" t="s">
        <v>10</v>
      </c>
      <c r="AU22" s="148" t="s">
        <v>46</v>
      </c>
      <c r="AV22" s="7" t="s">
        <v>9</v>
      </c>
      <c r="AW22" s="7" t="s">
        <v>10</v>
      </c>
      <c r="AX22" s="148" t="s">
        <v>46</v>
      </c>
      <c r="AY22" s="7" t="s">
        <v>9</v>
      </c>
      <c r="AZ22" s="7" t="s">
        <v>10</v>
      </c>
      <c r="BA22" s="148" t="s">
        <v>11</v>
      </c>
      <c r="BB22" s="7" t="s">
        <v>9</v>
      </c>
      <c r="BC22" s="7" t="s">
        <v>10</v>
      </c>
    </row>
    <row r="23" spans="1:55" ht="14.95" customHeight="1" thickBot="1" x14ac:dyDescent="0.3">
      <c r="A23" s="43" t="s">
        <v>888</v>
      </c>
      <c r="B23" s="177">
        <v>1</v>
      </c>
      <c r="C23" s="368">
        <v>0</v>
      </c>
      <c r="D23" s="234">
        <v>0</v>
      </c>
      <c r="E23" s="60">
        <f t="shared" si="0"/>
        <v>1</v>
      </c>
      <c r="F23" s="74" t="s">
        <v>888</v>
      </c>
      <c r="G23" s="175">
        <v>5</v>
      </c>
      <c r="H23" s="257">
        <v>0</v>
      </c>
      <c r="I23" s="235">
        <v>0</v>
      </c>
      <c r="J23" s="76">
        <f t="shared" si="1"/>
        <v>5</v>
      </c>
      <c r="K23" s="50" t="s">
        <v>558</v>
      </c>
      <c r="L23" s="148" t="s">
        <v>15</v>
      </c>
      <c r="M23" s="7" t="s">
        <v>15</v>
      </c>
      <c r="N23" s="7" t="s">
        <v>15</v>
      </c>
      <c r="O23" s="148">
        <v>1</v>
      </c>
      <c r="P23" s="7">
        <v>1</v>
      </c>
      <c r="Q23" s="7">
        <v>100</v>
      </c>
      <c r="R23" s="148" t="s">
        <v>15</v>
      </c>
      <c r="S23" s="7" t="s">
        <v>15</v>
      </c>
      <c r="T23" s="7" t="s">
        <v>15</v>
      </c>
      <c r="U23" s="148" t="s">
        <v>15</v>
      </c>
      <c r="V23" s="7" t="s">
        <v>15</v>
      </c>
      <c r="W23" s="7" t="s">
        <v>15</v>
      </c>
      <c r="AC23" s="148" t="s">
        <v>15</v>
      </c>
      <c r="AD23" s="7" t="s">
        <v>15</v>
      </c>
      <c r="AE23" s="7" t="s">
        <v>15</v>
      </c>
      <c r="AF23" s="148" t="s">
        <v>15</v>
      </c>
      <c r="AG23" s="7" t="s">
        <v>15</v>
      </c>
      <c r="AH23" s="7" t="s">
        <v>15</v>
      </c>
      <c r="AI23" s="148" t="s">
        <v>15</v>
      </c>
      <c r="AJ23" s="7" t="s">
        <v>15</v>
      </c>
      <c r="AK23" s="153" t="s">
        <v>15</v>
      </c>
      <c r="AL23" s="148" t="s">
        <v>15</v>
      </c>
      <c r="AM23" s="7" t="s">
        <v>15</v>
      </c>
      <c r="AN23" s="153" t="s">
        <v>15</v>
      </c>
      <c r="AO23" s="148" t="s">
        <v>15</v>
      </c>
      <c r="AP23" s="7" t="s">
        <v>15</v>
      </c>
      <c r="AQ23" s="153" t="s">
        <v>15</v>
      </c>
      <c r="AR23" s="148" t="s">
        <v>15</v>
      </c>
      <c r="AS23" s="7" t="s">
        <v>15</v>
      </c>
      <c r="AT23" s="153" t="s">
        <v>15</v>
      </c>
      <c r="AU23" s="148" t="s">
        <v>15</v>
      </c>
      <c r="AV23" s="7" t="s">
        <v>15</v>
      </c>
      <c r="AW23" s="153" t="s">
        <v>15</v>
      </c>
      <c r="AX23" s="148" t="s">
        <v>15</v>
      </c>
      <c r="AY23" s="7" t="s">
        <v>15</v>
      </c>
      <c r="AZ23" s="153" t="s">
        <v>15</v>
      </c>
      <c r="BA23" s="148" t="s">
        <v>15</v>
      </c>
      <c r="BB23" s="7" t="s">
        <v>15</v>
      </c>
      <c r="BC23" s="153" t="s">
        <v>15</v>
      </c>
    </row>
    <row r="24" spans="1:55" ht="14.95" customHeight="1" thickBot="1" x14ac:dyDescent="0.3">
      <c r="A24" s="43" t="s">
        <v>240</v>
      </c>
      <c r="B24" s="177">
        <v>0</v>
      </c>
      <c r="C24" s="368">
        <v>0</v>
      </c>
      <c r="D24" s="234">
        <v>0</v>
      </c>
      <c r="E24" s="60">
        <f t="shared" si="0"/>
        <v>0</v>
      </c>
      <c r="F24" s="74" t="s">
        <v>240</v>
      </c>
      <c r="G24" s="175">
        <v>0</v>
      </c>
      <c r="H24" s="257">
        <v>0</v>
      </c>
      <c r="I24" s="235">
        <v>0</v>
      </c>
      <c r="J24" s="76">
        <f t="shared" si="1"/>
        <v>0</v>
      </c>
      <c r="K24" s="50" t="s">
        <v>175</v>
      </c>
      <c r="L24" s="148" t="s">
        <v>15</v>
      </c>
      <c r="M24" s="7" t="s">
        <v>15</v>
      </c>
      <c r="N24" s="7" t="s">
        <v>15</v>
      </c>
      <c r="O24" s="7">
        <v>4</v>
      </c>
      <c r="P24" s="7">
        <v>4</v>
      </c>
      <c r="Q24" s="153">
        <v>100</v>
      </c>
      <c r="R24" s="7">
        <v>5</v>
      </c>
      <c r="S24" s="7">
        <v>5</v>
      </c>
      <c r="T24" s="153">
        <v>100</v>
      </c>
      <c r="U24" s="7" t="s">
        <v>15</v>
      </c>
      <c r="V24" s="7" t="s">
        <v>15</v>
      </c>
      <c r="W24" s="153" t="s">
        <v>15</v>
      </c>
      <c r="AC24" s="148">
        <v>1</v>
      </c>
      <c r="AD24" s="7">
        <v>2</v>
      </c>
      <c r="AE24" s="153">
        <f t="shared" ref="AE24" si="11">(AC24/AD24)*100</f>
        <v>50</v>
      </c>
      <c r="AF24" s="84" t="s">
        <v>15</v>
      </c>
      <c r="AG24" s="79" t="s">
        <v>15</v>
      </c>
      <c r="AH24" s="171" t="s">
        <v>15</v>
      </c>
      <c r="AI24" s="148" t="s">
        <v>15</v>
      </c>
      <c r="AJ24" s="7" t="s">
        <v>15</v>
      </c>
      <c r="AK24" s="153" t="s">
        <v>15</v>
      </c>
      <c r="AL24" s="148" t="s">
        <v>15</v>
      </c>
      <c r="AM24" s="7" t="s">
        <v>15</v>
      </c>
      <c r="AN24" s="153" t="s">
        <v>15</v>
      </c>
      <c r="AO24" s="148">
        <v>21</v>
      </c>
      <c r="AP24" s="7">
        <v>25</v>
      </c>
      <c r="AQ24" s="153">
        <f>SUM(AO24/AP24)*100</f>
        <v>84</v>
      </c>
      <c r="AR24" s="148">
        <v>11</v>
      </c>
      <c r="AS24" s="7">
        <v>13</v>
      </c>
      <c r="AT24" s="153">
        <f>SUM(AR24/AS24)*100</f>
        <v>84.615384615384613</v>
      </c>
      <c r="AU24" s="148">
        <v>11</v>
      </c>
      <c r="AV24" s="7">
        <v>18</v>
      </c>
      <c r="AW24" s="153">
        <f>SUM(AU24/AV24)*100</f>
        <v>61.111111111111114</v>
      </c>
      <c r="AX24" s="148">
        <v>13</v>
      </c>
      <c r="AY24" s="7">
        <v>18</v>
      </c>
      <c r="AZ24" s="153">
        <f>SUM(AX24/AY24)*100</f>
        <v>72.222222222222214</v>
      </c>
      <c r="BA24" s="7" t="s">
        <v>15</v>
      </c>
      <c r="BB24" s="7" t="s">
        <v>15</v>
      </c>
      <c r="BC24" s="7" t="s">
        <v>15</v>
      </c>
    </row>
    <row r="25" spans="1:55" ht="14.95" customHeight="1" thickBot="1" x14ac:dyDescent="0.3">
      <c r="A25" s="43" t="s">
        <v>1063</v>
      </c>
      <c r="B25" s="177">
        <v>0</v>
      </c>
      <c r="C25" s="368">
        <v>0</v>
      </c>
      <c r="D25" s="234">
        <v>1</v>
      </c>
      <c r="E25" s="60">
        <f t="shared" si="0"/>
        <v>1</v>
      </c>
      <c r="F25" s="74" t="s">
        <v>1063</v>
      </c>
      <c r="G25" s="175">
        <v>0</v>
      </c>
      <c r="H25" s="257">
        <v>0</v>
      </c>
      <c r="I25" s="235">
        <v>5</v>
      </c>
      <c r="J25" s="76">
        <f t="shared" si="1"/>
        <v>5</v>
      </c>
      <c r="K25" s="50" t="s">
        <v>222</v>
      </c>
      <c r="L25" s="148" t="s">
        <v>15</v>
      </c>
      <c r="M25" s="7" t="s">
        <v>15</v>
      </c>
      <c r="N25" s="7" t="s">
        <v>15</v>
      </c>
      <c r="O25" s="148" t="s">
        <v>15</v>
      </c>
      <c r="P25" s="7" t="s">
        <v>15</v>
      </c>
      <c r="Q25" s="7" t="s">
        <v>15</v>
      </c>
      <c r="R25" s="148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153" t="s">
        <v>15</v>
      </c>
      <c r="AC25" s="148" t="s">
        <v>15</v>
      </c>
      <c r="AD25" s="7" t="s">
        <v>15</v>
      </c>
      <c r="AE25" s="153" t="s">
        <v>15</v>
      </c>
      <c r="AF25" s="148" t="s">
        <v>15</v>
      </c>
      <c r="AG25" s="7" t="s">
        <v>15</v>
      </c>
      <c r="AH25" s="153" t="s">
        <v>15</v>
      </c>
      <c r="AI25" s="6" t="s">
        <v>15</v>
      </c>
      <c r="AJ25" s="7" t="s">
        <v>15</v>
      </c>
      <c r="AK25" s="153" t="s">
        <v>15</v>
      </c>
      <c r="AL25" s="7" t="s">
        <v>15</v>
      </c>
      <c r="AM25" s="7" t="s">
        <v>15</v>
      </c>
      <c r="AN25" s="153" t="s">
        <v>15</v>
      </c>
      <c r="AO25" s="7" t="s">
        <v>15</v>
      </c>
      <c r="AP25" s="7" t="s">
        <v>15</v>
      </c>
      <c r="AQ25" s="153" t="s">
        <v>15</v>
      </c>
      <c r="AR25" s="7" t="s">
        <v>15</v>
      </c>
      <c r="AS25" s="7" t="s">
        <v>15</v>
      </c>
      <c r="AT25" s="153" t="s">
        <v>15</v>
      </c>
      <c r="AU25" s="7" t="s">
        <v>15</v>
      </c>
      <c r="AV25" s="7" t="s">
        <v>15</v>
      </c>
      <c r="AW25" s="153" t="s">
        <v>15</v>
      </c>
      <c r="AX25" s="7" t="s">
        <v>15</v>
      </c>
      <c r="AY25" s="7" t="s">
        <v>15</v>
      </c>
      <c r="AZ25" s="153" t="s">
        <v>15</v>
      </c>
      <c r="BA25" s="7" t="s">
        <v>15</v>
      </c>
      <c r="BB25" s="7" t="s">
        <v>15</v>
      </c>
      <c r="BC25" s="153" t="s">
        <v>15</v>
      </c>
    </row>
    <row r="26" spans="1:55" ht="14.95" customHeight="1" thickBot="1" x14ac:dyDescent="0.3">
      <c r="A26" s="43" t="s">
        <v>654</v>
      </c>
      <c r="B26" s="177">
        <v>0</v>
      </c>
      <c r="C26" s="368">
        <v>0</v>
      </c>
      <c r="D26" s="234">
        <v>0</v>
      </c>
      <c r="E26" s="60">
        <f t="shared" si="0"/>
        <v>0</v>
      </c>
      <c r="F26" s="74" t="s">
        <v>654</v>
      </c>
      <c r="G26" s="175">
        <v>0</v>
      </c>
      <c r="H26" s="257">
        <v>0</v>
      </c>
      <c r="I26" s="235">
        <v>0</v>
      </c>
      <c r="J26" s="76">
        <f t="shared" si="1"/>
        <v>0</v>
      </c>
      <c r="K26" s="50" t="s">
        <v>592</v>
      </c>
      <c r="L26" s="148" t="s">
        <v>15</v>
      </c>
      <c r="M26" s="7" t="s">
        <v>15</v>
      </c>
      <c r="N26" s="7" t="s">
        <v>15</v>
      </c>
      <c r="O26" s="7" t="s">
        <v>15</v>
      </c>
      <c r="P26" s="7" t="s">
        <v>15</v>
      </c>
      <c r="Q26" s="153" t="s">
        <v>15</v>
      </c>
      <c r="R26" s="7">
        <v>2</v>
      </c>
      <c r="S26" s="7">
        <v>2</v>
      </c>
      <c r="T26" s="153">
        <v>100</v>
      </c>
      <c r="U26" s="7" t="s">
        <v>15</v>
      </c>
      <c r="V26" s="7" t="s">
        <v>15</v>
      </c>
      <c r="W26" s="153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6" t="s">
        <v>15</v>
      </c>
      <c r="AJ26" s="7" t="s">
        <v>15</v>
      </c>
      <c r="AK26" s="153" t="s">
        <v>15</v>
      </c>
      <c r="AL26" s="7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  <c r="BA26" s="7" t="s">
        <v>15</v>
      </c>
      <c r="BB26" s="7" t="s">
        <v>15</v>
      </c>
      <c r="BC26" s="153" t="s">
        <v>15</v>
      </c>
    </row>
    <row r="27" spans="1:55" ht="14.95" customHeight="1" thickBot="1" x14ac:dyDescent="0.3">
      <c r="A27" s="43" t="s">
        <v>503</v>
      </c>
      <c r="B27" s="177">
        <v>1</v>
      </c>
      <c r="C27" s="368">
        <v>1</v>
      </c>
      <c r="D27" s="234">
        <v>1</v>
      </c>
      <c r="E27" s="60">
        <f t="shared" si="0"/>
        <v>3</v>
      </c>
      <c r="F27" s="74" t="s">
        <v>503</v>
      </c>
      <c r="G27" s="175">
        <v>5</v>
      </c>
      <c r="H27" s="257">
        <v>5</v>
      </c>
      <c r="I27" s="235">
        <v>5</v>
      </c>
      <c r="J27" s="76">
        <f t="shared" si="1"/>
        <v>15</v>
      </c>
      <c r="K27" s="50" t="s">
        <v>663</v>
      </c>
      <c r="L27" s="148" t="s">
        <v>15</v>
      </c>
      <c r="M27" s="7" t="s">
        <v>15</v>
      </c>
      <c r="N27" s="7" t="s">
        <v>15</v>
      </c>
      <c r="O27" s="7">
        <v>1</v>
      </c>
      <c r="P27" s="7">
        <v>2</v>
      </c>
      <c r="Q27" s="153">
        <v>50</v>
      </c>
      <c r="R27" s="7" t="s">
        <v>15</v>
      </c>
      <c r="S27" s="7" t="s">
        <v>15</v>
      </c>
      <c r="T27" s="153" t="s">
        <v>15</v>
      </c>
      <c r="U27" s="7" t="s">
        <v>15</v>
      </c>
      <c r="V27" s="7" t="s">
        <v>15</v>
      </c>
      <c r="W27" s="153" t="s">
        <v>15</v>
      </c>
      <c r="AC27" s="148" t="s">
        <v>15</v>
      </c>
      <c r="AD27" s="7" t="s">
        <v>15</v>
      </c>
      <c r="AE27" s="153" t="s">
        <v>15</v>
      </c>
      <c r="AF27" s="84" t="s">
        <v>15</v>
      </c>
      <c r="AG27" s="79" t="s">
        <v>15</v>
      </c>
      <c r="AH27" s="171" t="s">
        <v>15</v>
      </c>
      <c r="AI27" s="148" t="s">
        <v>15</v>
      </c>
      <c r="AJ27" s="7" t="s">
        <v>15</v>
      </c>
      <c r="AK27" s="153" t="s">
        <v>15</v>
      </c>
      <c r="AL27" s="148" t="s">
        <v>15</v>
      </c>
      <c r="AM27" s="7" t="s">
        <v>15</v>
      </c>
      <c r="AN27" s="153" t="s">
        <v>15</v>
      </c>
      <c r="AO27" s="6" t="s">
        <v>15</v>
      </c>
      <c r="AP27" s="7" t="s">
        <v>15</v>
      </c>
      <c r="AQ27" s="7" t="s">
        <v>15</v>
      </c>
      <c r="AR27" s="6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  <c r="AX27" s="7" t="s">
        <v>15</v>
      </c>
      <c r="AY27" s="7" t="s">
        <v>15</v>
      </c>
      <c r="AZ27" s="7" t="s">
        <v>15</v>
      </c>
      <c r="BA27" s="7" t="s">
        <v>15</v>
      </c>
      <c r="BB27" s="7" t="s">
        <v>15</v>
      </c>
      <c r="BC27" s="7" t="s">
        <v>15</v>
      </c>
    </row>
    <row r="28" spans="1:55" ht="14.95" customHeight="1" thickBot="1" x14ac:dyDescent="0.3">
      <c r="A28" s="43" t="s">
        <v>238</v>
      </c>
      <c r="B28" s="177">
        <v>0</v>
      </c>
      <c r="C28" s="368">
        <v>0</v>
      </c>
      <c r="D28" s="234">
        <v>1</v>
      </c>
      <c r="E28" s="60">
        <f t="shared" si="0"/>
        <v>1</v>
      </c>
      <c r="F28" s="74" t="s">
        <v>238</v>
      </c>
      <c r="G28" s="175">
        <v>0</v>
      </c>
      <c r="H28" s="257">
        <v>0</v>
      </c>
      <c r="I28" s="235">
        <v>5</v>
      </c>
      <c r="J28" s="76">
        <f t="shared" si="1"/>
        <v>5</v>
      </c>
      <c r="AC28" t="s">
        <v>21</v>
      </c>
    </row>
    <row r="29" spans="1:55" ht="14.95" customHeight="1" thickBot="1" x14ac:dyDescent="0.3">
      <c r="A29" s="43" t="s">
        <v>271</v>
      </c>
      <c r="B29" s="177">
        <v>0</v>
      </c>
      <c r="C29" s="368">
        <v>0</v>
      </c>
      <c r="D29" s="234">
        <v>2</v>
      </c>
      <c r="E29" s="60">
        <f t="shared" si="0"/>
        <v>2</v>
      </c>
      <c r="F29" s="74" t="s">
        <v>271</v>
      </c>
      <c r="G29" s="175">
        <v>0</v>
      </c>
      <c r="H29" s="257">
        <v>0</v>
      </c>
      <c r="I29" s="235">
        <v>10</v>
      </c>
      <c r="J29" s="76">
        <f t="shared" si="1"/>
        <v>10</v>
      </c>
      <c r="K29" s="479" t="s">
        <v>1032</v>
      </c>
      <c r="L29" s="481" t="s">
        <v>14</v>
      </c>
      <c r="M29" s="482"/>
      <c r="N29" s="483"/>
      <c r="O29" s="457" t="s">
        <v>234</v>
      </c>
      <c r="P29" s="458"/>
      <c r="Q29" s="459"/>
      <c r="R29" s="465" t="s">
        <v>903</v>
      </c>
      <c r="S29" s="466"/>
      <c r="T29" s="467"/>
      <c r="U29" s="465" t="s">
        <v>601</v>
      </c>
      <c r="V29" s="466"/>
      <c r="W29" s="467"/>
      <c r="AC29" s="457" t="s">
        <v>494</v>
      </c>
      <c r="AD29" s="458"/>
      <c r="AE29" s="459"/>
      <c r="AF29" s="457" t="s">
        <v>313</v>
      </c>
      <c r="AG29" s="458"/>
      <c r="AH29" s="459"/>
      <c r="AI29" s="457" t="s">
        <v>227</v>
      </c>
      <c r="AJ29" s="458"/>
      <c r="AK29" s="459"/>
      <c r="AL29" s="457" t="s">
        <v>172</v>
      </c>
      <c r="AM29" s="458"/>
      <c r="AN29" s="459"/>
      <c r="AO29" s="457" t="s">
        <v>79</v>
      </c>
      <c r="AP29" s="458"/>
      <c r="AQ29" s="459"/>
      <c r="AR29" s="457" t="s">
        <v>50</v>
      </c>
      <c r="AS29" s="458"/>
      <c r="AT29" s="459"/>
      <c r="AU29" s="457" t="s">
        <v>37</v>
      </c>
      <c r="AV29" s="458"/>
      <c r="AW29" s="459"/>
    </row>
    <row r="30" spans="1:55" ht="14.95" customHeight="1" thickBot="1" x14ac:dyDescent="0.3">
      <c r="A30" s="43" t="s">
        <v>374</v>
      </c>
      <c r="B30" s="177">
        <v>2</v>
      </c>
      <c r="C30" s="368">
        <v>0</v>
      </c>
      <c r="D30" s="234">
        <v>0</v>
      </c>
      <c r="E30" s="60">
        <f t="shared" si="0"/>
        <v>2</v>
      </c>
      <c r="F30" s="74" t="s">
        <v>374</v>
      </c>
      <c r="G30" s="175">
        <v>10</v>
      </c>
      <c r="H30" s="257">
        <v>0</v>
      </c>
      <c r="I30" s="235">
        <v>0</v>
      </c>
      <c r="J30" s="76">
        <f t="shared" si="1"/>
        <v>10</v>
      </c>
      <c r="K30" s="480"/>
      <c r="L30" s="484"/>
      <c r="M30" s="485"/>
      <c r="N30" s="486"/>
      <c r="O30" s="460"/>
      <c r="P30" s="461"/>
      <c r="Q30" s="462"/>
      <c r="R30" s="468"/>
      <c r="S30" s="469"/>
      <c r="T30" s="470"/>
      <c r="U30" s="468"/>
      <c r="V30" s="469"/>
      <c r="W30" s="470"/>
      <c r="AC30" s="460"/>
      <c r="AD30" s="461"/>
      <c r="AE30" s="462"/>
      <c r="AF30" s="460"/>
      <c r="AG30" s="461"/>
      <c r="AH30" s="462"/>
      <c r="AI30" s="460"/>
      <c r="AJ30" s="461"/>
      <c r="AK30" s="462"/>
      <c r="AL30" s="460"/>
      <c r="AM30" s="461"/>
      <c r="AN30" s="462"/>
      <c r="AO30" s="460"/>
      <c r="AP30" s="461"/>
      <c r="AQ30" s="462"/>
      <c r="AR30" s="460"/>
      <c r="AS30" s="461"/>
      <c r="AT30" s="462"/>
      <c r="AU30" s="460"/>
      <c r="AV30" s="461"/>
      <c r="AW30" s="462"/>
    </row>
    <row r="31" spans="1:55" ht="14.95" customHeight="1" thickBot="1" x14ac:dyDescent="0.3">
      <c r="A31" s="43" t="s">
        <v>6</v>
      </c>
      <c r="B31" s="177">
        <v>4</v>
      </c>
      <c r="C31" s="368">
        <v>0</v>
      </c>
      <c r="D31" s="234">
        <v>0</v>
      </c>
      <c r="E31" s="60">
        <f t="shared" si="0"/>
        <v>4</v>
      </c>
      <c r="F31" s="74" t="s">
        <v>6</v>
      </c>
      <c r="G31" s="175">
        <v>20</v>
      </c>
      <c r="H31" s="257">
        <v>0</v>
      </c>
      <c r="I31" s="235">
        <v>0</v>
      </c>
      <c r="J31" s="76">
        <f t="shared" si="1"/>
        <v>20</v>
      </c>
      <c r="K31" s="366" t="s">
        <v>21</v>
      </c>
      <c r="L31" s="158" t="s">
        <v>46</v>
      </c>
      <c r="M31" s="3" t="s">
        <v>9</v>
      </c>
      <c r="N31" s="3" t="s">
        <v>10</v>
      </c>
      <c r="O31" s="148" t="s">
        <v>46</v>
      </c>
      <c r="P31" s="7" t="s">
        <v>9</v>
      </c>
      <c r="Q31" s="7" t="s">
        <v>10</v>
      </c>
      <c r="R31" s="148" t="s">
        <v>46</v>
      </c>
      <c r="S31" s="7" t="s">
        <v>9</v>
      </c>
      <c r="T31" s="7" t="s">
        <v>10</v>
      </c>
      <c r="U31" s="148" t="s">
        <v>46</v>
      </c>
      <c r="V31" s="7" t="s">
        <v>9</v>
      </c>
      <c r="W31" s="7" t="s">
        <v>10</v>
      </c>
      <c r="AC31" s="148" t="s">
        <v>46</v>
      </c>
      <c r="AD31" s="7" t="s">
        <v>9</v>
      </c>
      <c r="AE31" s="7" t="s">
        <v>10</v>
      </c>
      <c r="AF31" s="148" t="s">
        <v>46</v>
      </c>
      <c r="AG31" s="7" t="s">
        <v>9</v>
      </c>
      <c r="AH31" s="7" t="s">
        <v>10</v>
      </c>
      <c r="AI31" s="148" t="s">
        <v>46</v>
      </c>
      <c r="AJ31" s="7" t="s">
        <v>9</v>
      </c>
      <c r="AK31" s="7" t="s">
        <v>10</v>
      </c>
      <c r="AL31" s="6" t="s">
        <v>46</v>
      </c>
      <c r="AM31" s="7" t="s">
        <v>9</v>
      </c>
      <c r="AN31" s="7" t="s">
        <v>10</v>
      </c>
      <c r="AO31" s="148" t="s">
        <v>46</v>
      </c>
      <c r="AP31" s="7" t="s">
        <v>9</v>
      </c>
      <c r="AQ31" s="7" t="s">
        <v>10</v>
      </c>
      <c r="AR31" s="148" t="s">
        <v>46</v>
      </c>
      <c r="AS31" s="7" t="s">
        <v>9</v>
      </c>
      <c r="AT31" s="7" t="s">
        <v>10</v>
      </c>
      <c r="AU31" s="148" t="s">
        <v>46</v>
      </c>
      <c r="AV31" s="7" t="s">
        <v>9</v>
      </c>
      <c r="AW31" s="7" t="s">
        <v>10</v>
      </c>
    </row>
    <row r="32" spans="1:55" ht="14.95" customHeight="1" thickBot="1" x14ac:dyDescent="0.3">
      <c r="A32" s="43" t="s">
        <v>1098</v>
      </c>
      <c r="B32" s="177">
        <v>1</v>
      </c>
      <c r="C32" s="368">
        <v>0</v>
      </c>
      <c r="D32" s="234">
        <v>0</v>
      </c>
      <c r="E32" s="60">
        <f t="shared" si="0"/>
        <v>1</v>
      </c>
      <c r="F32" s="74" t="s">
        <v>1098</v>
      </c>
      <c r="G32" s="175">
        <v>5</v>
      </c>
      <c r="H32" s="257">
        <v>0</v>
      </c>
      <c r="I32" s="235">
        <v>0</v>
      </c>
      <c r="J32" s="76">
        <f t="shared" si="1"/>
        <v>5</v>
      </c>
      <c r="K32" s="50" t="s">
        <v>558</v>
      </c>
      <c r="L32" s="60" t="s">
        <v>15</v>
      </c>
      <c r="M32" s="60" t="s">
        <v>15</v>
      </c>
      <c r="N32" s="25" t="s">
        <v>15</v>
      </c>
      <c r="O32" s="7">
        <v>5</v>
      </c>
      <c r="P32" s="7">
        <v>6</v>
      </c>
      <c r="Q32" s="153">
        <v>83.333333333333343</v>
      </c>
      <c r="R32" s="7">
        <v>7</v>
      </c>
      <c r="S32" s="7">
        <v>13</v>
      </c>
      <c r="T32" s="153">
        <v>53.846153846153847</v>
      </c>
      <c r="U32" s="7">
        <v>5</v>
      </c>
      <c r="V32" s="7">
        <v>7</v>
      </c>
      <c r="W32" s="153">
        <v>71.428571428571431</v>
      </c>
      <c r="AC32" s="148">
        <v>1</v>
      </c>
      <c r="AD32" s="7">
        <v>1</v>
      </c>
      <c r="AE32" s="153">
        <f>SUM(AC32/AD32)*100</f>
        <v>100</v>
      </c>
      <c r="AF32" s="148" t="s">
        <v>15</v>
      </c>
      <c r="AG32" s="7" t="s">
        <v>15</v>
      </c>
      <c r="AH32" s="7" t="s">
        <v>15</v>
      </c>
      <c r="AI32" s="148"/>
      <c r="AJ32" s="7"/>
      <c r="AK32" s="7"/>
      <c r="AL32" s="6"/>
      <c r="AM32" s="7"/>
      <c r="AN32" s="7"/>
      <c r="AO32" s="148"/>
      <c r="AP32" s="7"/>
      <c r="AQ32" s="7"/>
      <c r="AR32" s="148"/>
      <c r="AS32" s="7"/>
      <c r="AT32" s="7"/>
      <c r="AU32" s="148"/>
      <c r="AV32" s="7"/>
      <c r="AW32" s="7"/>
    </row>
    <row r="33" spans="1:49" ht="14.95" customHeight="1" thickBot="1" x14ac:dyDescent="0.3">
      <c r="A33" s="43" t="s">
        <v>819</v>
      </c>
      <c r="B33" s="177">
        <v>0</v>
      </c>
      <c r="C33" s="368">
        <v>0</v>
      </c>
      <c r="D33" s="234">
        <v>1</v>
      </c>
      <c r="E33" s="60">
        <f t="shared" si="0"/>
        <v>1</v>
      </c>
      <c r="F33" s="74" t="s">
        <v>819</v>
      </c>
      <c r="G33" s="175">
        <v>0</v>
      </c>
      <c r="H33" s="257">
        <v>0</v>
      </c>
      <c r="I33" s="235">
        <v>5</v>
      </c>
      <c r="J33" s="76">
        <f t="shared" si="1"/>
        <v>5</v>
      </c>
      <c r="K33" s="98" t="s">
        <v>175</v>
      </c>
      <c r="L33" s="222">
        <v>10</v>
      </c>
      <c r="M33" s="60">
        <v>14</v>
      </c>
      <c r="N33" s="25">
        <f t="shared" ref="N33" si="12">SUM(L33/M33)*100</f>
        <v>71.428571428571431</v>
      </c>
      <c r="O33" s="148">
        <v>4</v>
      </c>
      <c r="P33" s="7">
        <v>6</v>
      </c>
      <c r="Q33" s="153">
        <v>66.666666666666657</v>
      </c>
      <c r="R33" s="148">
        <v>19</v>
      </c>
      <c r="S33" s="7">
        <v>31</v>
      </c>
      <c r="T33" s="153">
        <v>61.29032258064516</v>
      </c>
      <c r="U33" s="148">
        <v>19</v>
      </c>
      <c r="V33" s="7">
        <v>23</v>
      </c>
      <c r="W33" s="153">
        <v>82.608695652173907</v>
      </c>
      <c r="AC33" s="148">
        <v>13</v>
      </c>
      <c r="AD33" s="7">
        <v>15</v>
      </c>
      <c r="AE33" s="153">
        <f t="shared" ref="AE33" si="13">(AC33/AD33)*100</f>
        <v>86.666666666666671</v>
      </c>
      <c r="AF33" s="148">
        <v>1</v>
      </c>
      <c r="AG33" s="7">
        <v>1</v>
      </c>
      <c r="AH33" s="153">
        <f>(AF33/AG33)*100</f>
        <v>100</v>
      </c>
      <c r="AI33" s="84" t="s">
        <v>15</v>
      </c>
      <c r="AJ33" s="79" t="s">
        <v>15</v>
      </c>
      <c r="AK33" s="171" t="s">
        <v>15</v>
      </c>
      <c r="AL33" s="84" t="s">
        <v>15</v>
      </c>
      <c r="AM33" s="79" t="s">
        <v>15</v>
      </c>
      <c r="AN33" s="171" t="s">
        <v>15</v>
      </c>
      <c r="AO33" s="84" t="s">
        <v>15</v>
      </c>
      <c r="AP33" s="79" t="s">
        <v>15</v>
      </c>
      <c r="AQ33" s="171" t="s">
        <v>15</v>
      </c>
      <c r="AR33" s="84" t="s">
        <v>15</v>
      </c>
      <c r="AS33" s="79" t="s">
        <v>15</v>
      </c>
      <c r="AT33" s="171" t="s">
        <v>15</v>
      </c>
      <c r="AU33" s="6" t="s">
        <v>15</v>
      </c>
      <c r="AV33" s="7" t="s">
        <v>15</v>
      </c>
      <c r="AW33" s="7" t="s">
        <v>15</v>
      </c>
    </row>
    <row r="34" spans="1:49" ht="14.95" customHeight="1" thickBot="1" x14ac:dyDescent="0.3">
      <c r="A34" s="43" t="s">
        <v>937</v>
      </c>
      <c r="B34" s="177">
        <v>1</v>
      </c>
      <c r="C34" s="368">
        <v>0</v>
      </c>
      <c r="D34" s="234">
        <v>2</v>
      </c>
      <c r="E34" s="60">
        <f t="shared" si="0"/>
        <v>3</v>
      </c>
      <c r="F34" s="74" t="s">
        <v>937</v>
      </c>
      <c r="G34" s="175">
        <v>5</v>
      </c>
      <c r="H34" s="257">
        <v>0</v>
      </c>
      <c r="I34" s="235">
        <v>10</v>
      </c>
      <c r="J34" s="76">
        <f t="shared" si="1"/>
        <v>15</v>
      </c>
      <c r="K34" s="98" t="s">
        <v>222</v>
      </c>
      <c r="L34" s="222">
        <v>3</v>
      </c>
      <c r="M34" s="60">
        <v>4</v>
      </c>
      <c r="N34" s="25">
        <f t="shared" ref="N34" si="14">SUM(L34/M34)*100</f>
        <v>75</v>
      </c>
      <c r="O34" s="148" t="s">
        <v>15</v>
      </c>
      <c r="P34" s="7" t="s">
        <v>15</v>
      </c>
      <c r="Q34" s="153" t="s">
        <v>15</v>
      </c>
      <c r="R34" s="148" t="s">
        <v>15</v>
      </c>
      <c r="S34" s="7" t="s">
        <v>15</v>
      </c>
      <c r="T34" s="153" t="s">
        <v>15</v>
      </c>
      <c r="U34" s="148" t="s">
        <v>15</v>
      </c>
      <c r="V34" s="7" t="s">
        <v>15</v>
      </c>
      <c r="W34" s="153" t="s">
        <v>15</v>
      </c>
      <c r="AC34" s="148" t="s">
        <v>15</v>
      </c>
      <c r="AD34" s="7" t="s">
        <v>15</v>
      </c>
      <c r="AE34" s="153" t="s">
        <v>15</v>
      </c>
      <c r="AF34" s="148" t="s">
        <v>15</v>
      </c>
      <c r="AG34" s="7" t="s">
        <v>15</v>
      </c>
      <c r="AH34" s="153" t="s">
        <v>15</v>
      </c>
      <c r="AI34" s="148">
        <v>1</v>
      </c>
      <c r="AJ34" s="7">
        <v>1</v>
      </c>
      <c r="AK34" s="153">
        <f>SUM(AI34/AJ34)*100</f>
        <v>100</v>
      </c>
      <c r="AL34" s="6" t="s">
        <v>15</v>
      </c>
      <c r="AM34" s="7" t="s">
        <v>15</v>
      </c>
      <c r="AN34" s="7" t="s">
        <v>15</v>
      </c>
      <c r="AO34" s="148" t="s">
        <v>15</v>
      </c>
      <c r="AP34" s="7" t="s">
        <v>15</v>
      </c>
      <c r="AQ34" s="7" t="s">
        <v>15</v>
      </c>
      <c r="AR34" s="148" t="s">
        <v>15</v>
      </c>
      <c r="AS34" s="7" t="s">
        <v>15</v>
      </c>
      <c r="AT34" s="7" t="s">
        <v>15</v>
      </c>
      <c r="AU34" s="148" t="s">
        <v>15</v>
      </c>
      <c r="AV34" s="7" t="s">
        <v>15</v>
      </c>
      <c r="AW34" s="7" t="s">
        <v>15</v>
      </c>
    </row>
    <row r="35" spans="1:49" ht="14.95" customHeight="1" thickBot="1" x14ac:dyDescent="0.3">
      <c r="A35" s="43" t="s">
        <v>947</v>
      </c>
      <c r="B35" s="177">
        <v>0</v>
      </c>
      <c r="C35" s="368">
        <v>0</v>
      </c>
      <c r="D35" s="234">
        <v>0</v>
      </c>
      <c r="E35" s="60">
        <f t="shared" si="0"/>
        <v>0</v>
      </c>
      <c r="F35" s="74" t="s">
        <v>947</v>
      </c>
      <c r="G35" s="175">
        <v>0</v>
      </c>
      <c r="H35" s="257">
        <v>0</v>
      </c>
      <c r="I35" s="235">
        <v>0</v>
      </c>
      <c r="J35" s="76">
        <f t="shared" si="1"/>
        <v>0</v>
      </c>
      <c r="K35" s="50" t="s">
        <v>663</v>
      </c>
      <c r="L35" s="14" t="s">
        <v>15</v>
      </c>
      <c r="M35" s="361" t="s">
        <v>15</v>
      </c>
      <c r="N35" s="362" t="s">
        <v>15</v>
      </c>
      <c r="O35" s="148">
        <v>9</v>
      </c>
      <c r="P35" s="7">
        <v>13</v>
      </c>
      <c r="Q35" s="153">
        <v>69.230769230769226</v>
      </c>
      <c r="R35" s="148" t="s">
        <v>15</v>
      </c>
      <c r="S35" s="7" t="s">
        <v>15</v>
      </c>
      <c r="T35" s="153" t="s">
        <v>15</v>
      </c>
      <c r="U35" s="148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148" t="s">
        <v>15</v>
      </c>
      <c r="AG35" s="7" t="s">
        <v>15</v>
      </c>
      <c r="AH35" s="153" t="s">
        <v>15</v>
      </c>
      <c r="AI35" s="148" t="s">
        <v>15</v>
      </c>
      <c r="AJ35" s="7" t="s">
        <v>15</v>
      </c>
      <c r="AK35" s="153" t="s">
        <v>15</v>
      </c>
      <c r="AL35" s="148" t="s">
        <v>15</v>
      </c>
      <c r="AM35" s="7" t="s">
        <v>15</v>
      </c>
      <c r="AN35" s="153" t="s">
        <v>15</v>
      </c>
      <c r="AO35" s="148" t="s">
        <v>15</v>
      </c>
      <c r="AP35" s="7" t="s">
        <v>15</v>
      </c>
      <c r="AQ35" s="153" t="s">
        <v>15</v>
      </c>
      <c r="AR35" s="148" t="s">
        <v>15</v>
      </c>
      <c r="AS35" s="7" t="s">
        <v>15</v>
      </c>
      <c r="AT35" s="153" t="s">
        <v>15</v>
      </c>
      <c r="AU35" s="148" t="s">
        <v>15</v>
      </c>
      <c r="AV35" s="7" t="s">
        <v>15</v>
      </c>
      <c r="AW35" s="153" t="s">
        <v>15</v>
      </c>
    </row>
    <row r="36" spans="1:49" ht="14.95" customHeight="1" thickBot="1" x14ac:dyDescent="0.3">
      <c r="A36" s="43" t="s">
        <v>579</v>
      </c>
      <c r="B36" s="177">
        <v>0</v>
      </c>
      <c r="C36" s="368">
        <v>0</v>
      </c>
      <c r="D36" s="234">
        <v>1</v>
      </c>
      <c r="E36" s="60">
        <f t="shared" si="0"/>
        <v>1</v>
      </c>
      <c r="F36" s="74" t="s">
        <v>579</v>
      </c>
      <c r="G36" s="175">
        <v>0</v>
      </c>
      <c r="H36" s="257">
        <v>0</v>
      </c>
      <c r="I36" s="235">
        <v>5</v>
      </c>
      <c r="J36" s="76">
        <f t="shared" si="1"/>
        <v>5</v>
      </c>
      <c r="K36" s="519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</row>
    <row r="37" spans="1:49" ht="14.95" customHeight="1" thickBot="1" x14ac:dyDescent="0.3">
      <c r="A37" s="43" t="s">
        <v>941</v>
      </c>
      <c r="B37" s="177">
        <v>1</v>
      </c>
      <c r="C37" s="368">
        <v>0</v>
      </c>
      <c r="D37" s="234">
        <v>0</v>
      </c>
      <c r="E37" s="60">
        <f t="shared" si="0"/>
        <v>1</v>
      </c>
      <c r="F37" s="74" t="s">
        <v>941</v>
      </c>
      <c r="G37" s="175">
        <v>5</v>
      </c>
      <c r="H37" s="257">
        <v>0</v>
      </c>
      <c r="I37" s="235">
        <v>0</v>
      </c>
      <c r="J37" s="76">
        <f t="shared" si="1"/>
        <v>5</v>
      </c>
      <c r="K37" s="471" t="s">
        <v>1016</v>
      </c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</row>
    <row r="38" spans="1:49" ht="14.95" customHeight="1" thickBot="1" x14ac:dyDescent="0.3">
      <c r="A38" s="43" t="s">
        <v>48</v>
      </c>
      <c r="B38" s="177">
        <v>1</v>
      </c>
      <c r="C38" s="368">
        <v>0</v>
      </c>
      <c r="D38" s="234">
        <v>1</v>
      </c>
      <c r="E38" s="60">
        <f t="shared" si="0"/>
        <v>2</v>
      </c>
      <c r="F38" s="74" t="s">
        <v>48</v>
      </c>
      <c r="G38" s="175">
        <v>5</v>
      </c>
      <c r="H38" s="257">
        <v>0</v>
      </c>
      <c r="I38" s="235">
        <v>5</v>
      </c>
      <c r="J38" s="76">
        <f t="shared" si="1"/>
        <v>10</v>
      </c>
      <c r="K38" s="471" t="s">
        <v>1013</v>
      </c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</row>
    <row r="39" spans="1:49" ht="14.95" customHeight="1" thickBot="1" x14ac:dyDescent="0.3">
      <c r="A39" s="43" t="s">
        <v>943</v>
      </c>
      <c r="B39" s="177">
        <v>0</v>
      </c>
      <c r="C39" s="368">
        <v>0</v>
      </c>
      <c r="D39" s="234">
        <v>0</v>
      </c>
      <c r="E39" s="60">
        <f t="shared" si="0"/>
        <v>0</v>
      </c>
      <c r="F39" s="74" t="s">
        <v>943</v>
      </c>
      <c r="G39" s="175">
        <v>0</v>
      </c>
      <c r="H39" s="257">
        <v>0</v>
      </c>
      <c r="I39" s="235">
        <v>0</v>
      </c>
      <c r="J39" s="76">
        <f t="shared" si="1"/>
        <v>0</v>
      </c>
      <c r="K39" t="s">
        <v>1034</v>
      </c>
    </row>
    <row r="40" spans="1:49" ht="14.95" customHeight="1" thickBot="1" x14ac:dyDescent="0.3">
      <c r="A40" s="43" t="s">
        <v>661</v>
      </c>
      <c r="B40" s="177">
        <v>0</v>
      </c>
      <c r="C40" s="368">
        <v>0</v>
      </c>
      <c r="D40" s="234">
        <v>0</v>
      </c>
      <c r="E40" s="60">
        <f t="shared" si="0"/>
        <v>0</v>
      </c>
      <c r="F40" s="74" t="s">
        <v>661</v>
      </c>
      <c r="G40" s="175">
        <v>0</v>
      </c>
      <c r="H40" s="257">
        <v>0</v>
      </c>
      <c r="I40" s="235">
        <v>0</v>
      </c>
      <c r="J40" s="76">
        <f t="shared" si="1"/>
        <v>0</v>
      </c>
    </row>
    <row r="41" spans="1:49" ht="14.95" customHeight="1" thickBot="1" x14ac:dyDescent="0.3">
      <c r="A41" s="43" t="s">
        <v>24</v>
      </c>
      <c r="B41" s="177">
        <v>0</v>
      </c>
      <c r="C41" s="368">
        <v>0</v>
      </c>
      <c r="D41" s="234">
        <v>0</v>
      </c>
      <c r="E41" s="60">
        <f t="shared" si="0"/>
        <v>0</v>
      </c>
      <c r="F41" s="74" t="s">
        <v>24</v>
      </c>
      <c r="G41" s="175">
        <v>0</v>
      </c>
      <c r="H41" s="257">
        <v>0</v>
      </c>
      <c r="I41" s="235">
        <v>0</v>
      </c>
      <c r="J41" s="76">
        <f t="shared" si="1"/>
        <v>0</v>
      </c>
    </row>
    <row r="42" spans="1:49" ht="14.95" customHeight="1" thickBot="1" x14ac:dyDescent="0.3">
      <c r="A42" s="43" t="s">
        <v>4</v>
      </c>
      <c r="B42" s="177">
        <v>0</v>
      </c>
      <c r="C42" s="368">
        <v>0</v>
      </c>
      <c r="D42" s="234">
        <v>0</v>
      </c>
      <c r="E42" s="60">
        <f t="shared" si="0"/>
        <v>0</v>
      </c>
      <c r="F42" s="74" t="s">
        <v>4</v>
      </c>
      <c r="G42" s="175">
        <v>0</v>
      </c>
      <c r="H42" s="257">
        <v>0</v>
      </c>
      <c r="I42" s="235">
        <v>0</v>
      </c>
      <c r="J42" s="76">
        <f t="shared" si="1"/>
        <v>0</v>
      </c>
    </row>
    <row r="43" spans="1:49" ht="14.95" customHeight="1" thickBot="1" x14ac:dyDescent="0.3">
      <c r="A43" s="43" t="s">
        <v>62</v>
      </c>
      <c r="B43" s="177">
        <v>0</v>
      </c>
      <c r="C43" s="368">
        <v>0</v>
      </c>
      <c r="D43" s="234">
        <v>0</v>
      </c>
      <c r="E43" s="60">
        <f t="shared" si="0"/>
        <v>0</v>
      </c>
      <c r="F43" s="74" t="s">
        <v>62</v>
      </c>
      <c r="G43" s="175">
        <v>0</v>
      </c>
      <c r="H43" s="257">
        <v>0</v>
      </c>
      <c r="I43" s="235">
        <v>0</v>
      </c>
      <c r="J43" s="76">
        <f t="shared" si="1"/>
        <v>0</v>
      </c>
    </row>
    <row r="44" spans="1:49" ht="14.95" customHeight="1" thickBot="1" x14ac:dyDescent="0.3">
      <c r="A44" s="43" t="s">
        <v>942</v>
      </c>
      <c r="B44" s="177">
        <v>2</v>
      </c>
      <c r="C44" s="368">
        <v>0</v>
      </c>
      <c r="D44" s="234">
        <v>0</v>
      </c>
      <c r="E44" s="60">
        <f t="shared" si="0"/>
        <v>2</v>
      </c>
      <c r="F44" s="74" t="s">
        <v>942</v>
      </c>
      <c r="G44" s="175">
        <v>10</v>
      </c>
      <c r="H44" s="257">
        <v>0</v>
      </c>
      <c r="I44" s="235">
        <v>0</v>
      </c>
      <c r="J44" s="76">
        <f t="shared" si="1"/>
        <v>10</v>
      </c>
    </row>
    <row r="45" spans="1:49" ht="14.95" thickBot="1" x14ac:dyDescent="0.3">
      <c r="A45" s="43" t="s">
        <v>527</v>
      </c>
      <c r="B45" s="177">
        <v>0</v>
      </c>
      <c r="C45" s="368">
        <v>0</v>
      </c>
      <c r="D45" s="234">
        <v>0</v>
      </c>
      <c r="E45" s="60">
        <f t="shared" si="0"/>
        <v>0</v>
      </c>
      <c r="F45" s="74" t="s">
        <v>527</v>
      </c>
      <c r="G45" s="175">
        <v>0</v>
      </c>
      <c r="H45" s="257">
        <v>0</v>
      </c>
      <c r="I45" s="235">
        <v>0</v>
      </c>
      <c r="J45" s="76">
        <f t="shared" si="1"/>
        <v>0</v>
      </c>
    </row>
    <row r="46" spans="1:49" ht="14.95" thickBot="1" x14ac:dyDescent="0.3">
      <c r="A46" s="43" t="s">
        <v>56</v>
      </c>
      <c r="B46" s="177">
        <v>0</v>
      </c>
      <c r="C46" s="368">
        <v>0</v>
      </c>
      <c r="D46" s="234">
        <v>0</v>
      </c>
      <c r="E46" s="60">
        <f t="shared" si="0"/>
        <v>0</v>
      </c>
      <c r="F46" s="74" t="s">
        <v>56</v>
      </c>
      <c r="G46" s="175">
        <v>0</v>
      </c>
      <c r="H46" s="257">
        <v>0</v>
      </c>
      <c r="I46" s="235">
        <v>0</v>
      </c>
      <c r="J46" s="76">
        <f t="shared" si="1"/>
        <v>0</v>
      </c>
    </row>
    <row r="47" spans="1:49" ht="14.95" customHeight="1" thickBot="1" x14ac:dyDescent="0.3">
      <c r="A47" s="43" t="s">
        <v>217</v>
      </c>
      <c r="B47" s="177">
        <v>0</v>
      </c>
      <c r="C47" s="368">
        <v>0</v>
      </c>
      <c r="D47" s="234">
        <v>0</v>
      </c>
      <c r="E47" s="60">
        <f t="shared" si="0"/>
        <v>0</v>
      </c>
      <c r="F47" s="74" t="s">
        <v>217</v>
      </c>
      <c r="G47" s="175">
        <v>0</v>
      </c>
      <c r="H47" s="257">
        <v>0</v>
      </c>
      <c r="I47" s="235">
        <v>0</v>
      </c>
      <c r="J47" s="76">
        <f t="shared" si="1"/>
        <v>0</v>
      </c>
    </row>
    <row r="48" spans="1:49" ht="14.95" customHeight="1" thickBot="1" x14ac:dyDescent="0.3">
      <c r="A48" s="43" t="s">
        <v>351</v>
      </c>
      <c r="B48" s="177">
        <v>2</v>
      </c>
      <c r="C48" s="368">
        <v>1</v>
      </c>
      <c r="D48" s="234">
        <v>0</v>
      </c>
      <c r="E48" s="60">
        <f t="shared" si="0"/>
        <v>3</v>
      </c>
      <c r="F48" s="74" t="s">
        <v>351</v>
      </c>
      <c r="G48" s="175">
        <v>10</v>
      </c>
      <c r="H48" s="257">
        <v>5</v>
      </c>
      <c r="I48" s="235">
        <v>0</v>
      </c>
      <c r="J48" s="76">
        <f t="shared" si="1"/>
        <v>15</v>
      </c>
    </row>
    <row r="49" spans="1:10" ht="14.95" customHeight="1" thickBot="1" x14ac:dyDescent="0.3">
      <c r="A49" s="43" t="s">
        <v>49</v>
      </c>
      <c r="B49" s="177">
        <v>3</v>
      </c>
      <c r="C49" s="368">
        <v>0</v>
      </c>
      <c r="D49" s="234">
        <v>0</v>
      </c>
      <c r="E49" s="60">
        <f t="shared" si="0"/>
        <v>3</v>
      </c>
      <c r="F49" s="74" t="s">
        <v>49</v>
      </c>
      <c r="G49" s="175">
        <v>15</v>
      </c>
      <c r="H49" s="257">
        <v>0</v>
      </c>
      <c r="I49" s="235">
        <v>0</v>
      </c>
      <c r="J49" s="76">
        <f t="shared" si="1"/>
        <v>15</v>
      </c>
    </row>
    <row r="50" spans="1:10" ht="14.95" customHeight="1" thickBot="1" x14ac:dyDescent="0.3">
      <c r="A50" s="43" t="s">
        <v>505</v>
      </c>
      <c r="B50" s="177">
        <v>0</v>
      </c>
      <c r="C50" s="368">
        <v>1</v>
      </c>
      <c r="D50" s="234">
        <v>1</v>
      </c>
      <c r="E50" s="60">
        <f t="shared" si="0"/>
        <v>2</v>
      </c>
      <c r="F50" s="74" t="s">
        <v>505</v>
      </c>
      <c r="G50" s="175">
        <v>0</v>
      </c>
      <c r="H50" s="257">
        <v>5</v>
      </c>
      <c r="I50" s="235">
        <v>5</v>
      </c>
      <c r="J50" s="76">
        <f t="shared" si="1"/>
        <v>10</v>
      </c>
    </row>
    <row r="51" spans="1:10" ht="14.95" thickBot="1" x14ac:dyDescent="0.3">
      <c r="A51" s="43" t="s">
        <v>949</v>
      </c>
      <c r="B51" s="177">
        <v>2</v>
      </c>
      <c r="C51" s="368">
        <v>0</v>
      </c>
      <c r="D51" s="234">
        <v>0</v>
      </c>
      <c r="E51" s="60">
        <f t="shared" si="0"/>
        <v>2</v>
      </c>
      <c r="F51" s="74" t="s">
        <v>949</v>
      </c>
      <c r="G51" s="175">
        <v>10</v>
      </c>
      <c r="H51" s="257">
        <v>0</v>
      </c>
      <c r="I51" s="235">
        <v>0</v>
      </c>
      <c r="J51" s="76">
        <f t="shared" si="1"/>
        <v>10</v>
      </c>
    </row>
    <row r="52" spans="1:10" ht="14.95" thickBot="1" x14ac:dyDescent="0.3">
      <c r="A52" s="43" t="s">
        <v>5</v>
      </c>
      <c r="B52" s="177">
        <v>0</v>
      </c>
      <c r="C52" s="368">
        <v>1</v>
      </c>
      <c r="D52" s="234">
        <v>0</v>
      </c>
      <c r="E52" s="60">
        <f t="shared" si="0"/>
        <v>1</v>
      </c>
      <c r="F52" s="74" t="s">
        <v>5</v>
      </c>
      <c r="G52" s="175">
        <v>0</v>
      </c>
      <c r="H52" s="257">
        <v>5</v>
      </c>
      <c r="I52" s="235">
        <v>0</v>
      </c>
      <c r="J52" s="76">
        <f t="shared" si="1"/>
        <v>5</v>
      </c>
    </row>
    <row r="53" spans="1:10" ht="14.95" thickBot="1" x14ac:dyDescent="0.3">
      <c r="A53" s="43" t="s">
        <v>3</v>
      </c>
      <c r="B53" s="177">
        <f>SUM(B3:B52)</f>
        <v>28</v>
      </c>
      <c r="C53" s="368">
        <f>SUM(C3:C52)</f>
        <v>8</v>
      </c>
      <c r="D53" s="234">
        <f>SUM(D3:D52)</f>
        <v>15</v>
      </c>
      <c r="E53" s="60">
        <f t="shared" ref="E53" si="15">SUM(B53:D53)</f>
        <v>51</v>
      </c>
      <c r="F53" s="74" t="s">
        <v>3</v>
      </c>
      <c r="G53" s="175">
        <f>SUM(G3:G52)</f>
        <v>188</v>
      </c>
      <c r="H53" s="257">
        <f>SUM(H3:H52)</f>
        <v>75</v>
      </c>
      <c r="I53" s="235">
        <f>SUM(I3:I52)</f>
        <v>101</v>
      </c>
      <c r="J53" s="76">
        <f t="shared" si="1"/>
        <v>364</v>
      </c>
    </row>
    <row r="54" spans="1:10" x14ac:dyDescent="0.25">
      <c r="A54" s="477"/>
      <c r="B54" s="478"/>
      <c r="C54" s="478"/>
      <c r="D54" s="478"/>
      <c r="E54" s="478"/>
      <c r="F54" s="478"/>
      <c r="G54" s="478"/>
      <c r="H54" s="478"/>
      <c r="I54" s="33"/>
      <c r="J54" s="33"/>
    </row>
    <row r="55" spans="1:10" ht="14.95" thickBot="1" x14ac:dyDescent="0.3">
      <c r="A55" t="s">
        <v>12</v>
      </c>
      <c r="B55" s="132"/>
      <c r="C55" s="72"/>
      <c r="D55" s="72"/>
      <c r="E55" s="46"/>
      <c r="F55" s="33"/>
      <c r="G55" s="133"/>
      <c r="H55" s="33"/>
      <c r="I55" s="303"/>
      <c r="J55" s="303"/>
    </row>
    <row r="56" spans="1:10" ht="14.95" thickBot="1" x14ac:dyDescent="0.3">
      <c r="A56" s="111" t="s">
        <v>0</v>
      </c>
      <c r="B56" s="176" t="s">
        <v>226</v>
      </c>
      <c r="C56" s="367" t="s">
        <v>30</v>
      </c>
      <c r="D56" s="232" t="s">
        <v>339</v>
      </c>
      <c r="E56" s="112" t="s">
        <v>1</v>
      </c>
      <c r="F56" s="113" t="s">
        <v>2</v>
      </c>
      <c r="G56" s="174" t="s">
        <v>226</v>
      </c>
      <c r="H56" s="256" t="s">
        <v>30</v>
      </c>
      <c r="I56" s="233" t="s">
        <v>339</v>
      </c>
      <c r="J56" s="105" t="s">
        <v>1</v>
      </c>
    </row>
    <row r="57" spans="1:10" ht="14.95" thickBot="1" x14ac:dyDescent="0.3">
      <c r="A57" s="43" t="s">
        <v>6</v>
      </c>
      <c r="B57" s="177">
        <v>4</v>
      </c>
      <c r="C57" s="368">
        <v>0</v>
      </c>
      <c r="D57" s="234">
        <v>0</v>
      </c>
      <c r="E57" s="60">
        <f t="shared" ref="E57:E88" si="16">SUM(B57:D57)</f>
        <v>4</v>
      </c>
      <c r="F57" s="74" t="s">
        <v>222</v>
      </c>
      <c r="G57" s="175">
        <v>48</v>
      </c>
      <c r="H57" s="257">
        <v>14</v>
      </c>
      <c r="I57" s="235">
        <v>6</v>
      </c>
      <c r="J57" s="76">
        <f t="shared" ref="J57:J88" si="17">SUM(G57:I57)</f>
        <v>68</v>
      </c>
    </row>
    <row r="58" spans="1:10" ht="14.95" thickBot="1" x14ac:dyDescent="0.3">
      <c r="A58" s="43" t="s">
        <v>270</v>
      </c>
      <c r="B58" s="177">
        <v>0</v>
      </c>
      <c r="C58" s="368">
        <v>3</v>
      </c>
      <c r="D58" s="234">
        <v>0</v>
      </c>
      <c r="E58" s="60">
        <f t="shared" si="16"/>
        <v>3</v>
      </c>
      <c r="F58" s="74" t="s">
        <v>175</v>
      </c>
      <c r="G58" s="175">
        <v>0</v>
      </c>
      <c r="H58" s="257">
        <v>21</v>
      </c>
      <c r="I58" s="235">
        <v>20</v>
      </c>
      <c r="J58" s="76">
        <f t="shared" si="17"/>
        <v>41</v>
      </c>
    </row>
    <row r="59" spans="1:10" ht="14.95" thickBot="1" x14ac:dyDescent="0.3">
      <c r="A59" s="43" t="s">
        <v>346</v>
      </c>
      <c r="B59" s="177">
        <v>2</v>
      </c>
      <c r="C59" s="368">
        <v>1</v>
      </c>
      <c r="D59" s="234">
        <v>0</v>
      </c>
      <c r="E59" s="60">
        <f t="shared" si="16"/>
        <v>3</v>
      </c>
      <c r="F59" s="74" t="s">
        <v>6</v>
      </c>
      <c r="G59" s="175">
        <v>20</v>
      </c>
      <c r="H59" s="257">
        <v>0</v>
      </c>
      <c r="I59" s="235">
        <v>0</v>
      </c>
      <c r="J59" s="76">
        <f t="shared" si="17"/>
        <v>20</v>
      </c>
    </row>
    <row r="60" spans="1:10" ht="14.95" thickBot="1" x14ac:dyDescent="0.3">
      <c r="A60" s="43" t="s">
        <v>503</v>
      </c>
      <c r="B60" s="177">
        <v>1</v>
      </c>
      <c r="C60" s="368">
        <v>1</v>
      </c>
      <c r="D60" s="234">
        <v>1</v>
      </c>
      <c r="E60" s="60">
        <f t="shared" si="16"/>
        <v>3</v>
      </c>
      <c r="F60" s="73" t="s">
        <v>270</v>
      </c>
      <c r="G60" s="175">
        <v>0</v>
      </c>
      <c r="H60" s="257">
        <v>15</v>
      </c>
      <c r="I60" s="235">
        <v>0</v>
      </c>
      <c r="J60" s="76">
        <f t="shared" si="17"/>
        <v>15</v>
      </c>
    </row>
    <row r="61" spans="1:10" ht="14.95" thickBot="1" x14ac:dyDescent="0.3">
      <c r="A61" s="43" t="s">
        <v>937</v>
      </c>
      <c r="B61" s="177">
        <v>1</v>
      </c>
      <c r="C61" s="368">
        <v>0</v>
      </c>
      <c r="D61" s="234">
        <v>2</v>
      </c>
      <c r="E61" s="60">
        <f t="shared" si="16"/>
        <v>3</v>
      </c>
      <c r="F61" s="73" t="s">
        <v>346</v>
      </c>
      <c r="G61" s="175">
        <v>10</v>
      </c>
      <c r="H61" s="257">
        <v>5</v>
      </c>
      <c r="I61" s="235">
        <v>0</v>
      </c>
      <c r="J61" s="76">
        <f t="shared" si="17"/>
        <v>15</v>
      </c>
    </row>
    <row r="62" spans="1:10" ht="14.95" thickBot="1" x14ac:dyDescent="0.3">
      <c r="A62" s="43" t="s">
        <v>351</v>
      </c>
      <c r="B62" s="177">
        <v>2</v>
      </c>
      <c r="C62" s="368">
        <v>1</v>
      </c>
      <c r="D62" s="234">
        <v>0</v>
      </c>
      <c r="E62" s="60">
        <f t="shared" si="16"/>
        <v>3</v>
      </c>
      <c r="F62" s="73" t="s">
        <v>503</v>
      </c>
      <c r="G62" s="175">
        <v>5</v>
      </c>
      <c r="H62" s="257">
        <v>5</v>
      </c>
      <c r="I62" s="235">
        <v>5</v>
      </c>
      <c r="J62" s="76">
        <f t="shared" si="17"/>
        <v>15</v>
      </c>
    </row>
    <row r="63" spans="1:10" ht="14.95" thickBot="1" x14ac:dyDescent="0.3">
      <c r="A63" s="43" t="s">
        <v>49</v>
      </c>
      <c r="B63" s="177">
        <v>3</v>
      </c>
      <c r="C63" s="368">
        <v>0</v>
      </c>
      <c r="D63" s="234">
        <v>0</v>
      </c>
      <c r="E63" s="60">
        <f t="shared" si="16"/>
        <v>3</v>
      </c>
      <c r="F63" s="74" t="s">
        <v>937</v>
      </c>
      <c r="G63" s="175">
        <v>5</v>
      </c>
      <c r="H63" s="257">
        <v>0</v>
      </c>
      <c r="I63" s="235">
        <v>10</v>
      </c>
      <c r="J63" s="76">
        <f t="shared" si="17"/>
        <v>15</v>
      </c>
    </row>
    <row r="64" spans="1:10" ht="14.95" thickBot="1" x14ac:dyDescent="0.3">
      <c r="A64" s="43" t="s">
        <v>907</v>
      </c>
      <c r="B64" s="177">
        <v>1</v>
      </c>
      <c r="C64" s="368">
        <v>0</v>
      </c>
      <c r="D64" s="234">
        <v>1</v>
      </c>
      <c r="E64" s="60">
        <f t="shared" si="16"/>
        <v>2</v>
      </c>
      <c r="F64" s="74" t="s">
        <v>351</v>
      </c>
      <c r="G64" s="175">
        <v>10</v>
      </c>
      <c r="H64" s="257">
        <v>5</v>
      </c>
      <c r="I64" s="235">
        <v>0</v>
      </c>
      <c r="J64" s="76">
        <f t="shared" si="17"/>
        <v>15</v>
      </c>
    </row>
    <row r="65" spans="1:10" ht="14.95" thickBot="1" x14ac:dyDescent="0.3">
      <c r="A65" s="43" t="s">
        <v>271</v>
      </c>
      <c r="B65" s="177">
        <v>0</v>
      </c>
      <c r="C65" s="368">
        <v>0</v>
      </c>
      <c r="D65" s="234">
        <v>2</v>
      </c>
      <c r="E65" s="60">
        <f t="shared" si="16"/>
        <v>2</v>
      </c>
      <c r="F65" s="74" t="s">
        <v>49</v>
      </c>
      <c r="G65" s="175">
        <v>15</v>
      </c>
      <c r="H65" s="257">
        <v>0</v>
      </c>
      <c r="I65" s="235">
        <v>0</v>
      </c>
      <c r="J65" s="76">
        <f t="shared" si="17"/>
        <v>15</v>
      </c>
    </row>
    <row r="66" spans="1:10" ht="14.95" thickBot="1" x14ac:dyDescent="0.3">
      <c r="A66" s="43" t="s">
        <v>374</v>
      </c>
      <c r="B66" s="177">
        <v>2</v>
      </c>
      <c r="C66" s="368">
        <v>0</v>
      </c>
      <c r="D66" s="234">
        <v>0</v>
      </c>
      <c r="E66" s="60">
        <f t="shared" si="16"/>
        <v>2</v>
      </c>
      <c r="F66" s="74" t="s">
        <v>907</v>
      </c>
      <c r="G66" s="175">
        <v>5</v>
      </c>
      <c r="H66" s="257">
        <v>0</v>
      </c>
      <c r="I66" s="235">
        <v>5</v>
      </c>
      <c r="J66" s="76">
        <f t="shared" si="17"/>
        <v>10</v>
      </c>
    </row>
    <row r="67" spans="1:10" ht="14.95" thickBot="1" x14ac:dyDescent="0.3">
      <c r="A67" s="43" t="s">
        <v>48</v>
      </c>
      <c r="B67" s="177">
        <v>1</v>
      </c>
      <c r="C67" s="368">
        <v>0</v>
      </c>
      <c r="D67" s="234">
        <v>1</v>
      </c>
      <c r="E67" s="60">
        <f t="shared" si="16"/>
        <v>2</v>
      </c>
      <c r="F67" s="74" t="s">
        <v>271</v>
      </c>
      <c r="G67" s="175">
        <v>0</v>
      </c>
      <c r="H67" s="257">
        <v>0</v>
      </c>
      <c r="I67" s="235">
        <v>10</v>
      </c>
      <c r="J67" s="76">
        <f t="shared" si="17"/>
        <v>10</v>
      </c>
    </row>
    <row r="68" spans="1:10" ht="14.95" thickBot="1" x14ac:dyDescent="0.3">
      <c r="A68" s="43" t="s">
        <v>942</v>
      </c>
      <c r="B68" s="177">
        <v>2</v>
      </c>
      <c r="C68" s="368">
        <v>0</v>
      </c>
      <c r="D68" s="234">
        <v>0</v>
      </c>
      <c r="E68" s="60">
        <f t="shared" si="16"/>
        <v>2</v>
      </c>
      <c r="F68" s="74" t="s">
        <v>374</v>
      </c>
      <c r="G68" s="175">
        <v>10</v>
      </c>
      <c r="H68" s="257">
        <v>0</v>
      </c>
      <c r="I68" s="235">
        <v>0</v>
      </c>
      <c r="J68" s="76">
        <f t="shared" si="17"/>
        <v>10</v>
      </c>
    </row>
    <row r="69" spans="1:10" ht="14.95" thickBot="1" x14ac:dyDescent="0.3">
      <c r="A69" s="43" t="s">
        <v>505</v>
      </c>
      <c r="B69" s="177">
        <v>0</v>
      </c>
      <c r="C69" s="368">
        <v>1</v>
      </c>
      <c r="D69" s="234">
        <v>1</v>
      </c>
      <c r="E69" s="60">
        <f t="shared" si="16"/>
        <v>2</v>
      </c>
      <c r="F69" s="74" t="s">
        <v>48</v>
      </c>
      <c r="G69" s="175">
        <v>5</v>
      </c>
      <c r="H69" s="257">
        <v>0</v>
      </c>
      <c r="I69" s="235">
        <v>5</v>
      </c>
      <c r="J69" s="76">
        <f t="shared" si="17"/>
        <v>10</v>
      </c>
    </row>
    <row r="70" spans="1:10" ht="14.95" thickBot="1" x14ac:dyDescent="0.3">
      <c r="A70" s="43" t="s">
        <v>949</v>
      </c>
      <c r="B70" s="177">
        <v>2</v>
      </c>
      <c r="C70" s="368">
        <v>0</v>
      </c>
      <c r="D70" s="234">
        <v>0</v>
      </c>
      <c r="E70" s="60">
        <f t="shared" si="16"/>
        <v>2</v>
      </c>
      <c r="F70" s="74" t="s">
        <v>942</v>
      </c>
      <c r="G70" s="175">
        <v>10</v>
      </c>
      <c r="H70" s="257">
        <v>0</v>
      </c>
      <c r="I70" s="235">
        <v>0</v>
      </c>
      <c r="J70" s="76">
        <f t="shared" si="17"/>
        <v>10</v>
      </c>
    </row>
    <row r="71" spans="1:10" ht="14.95" thickBot="1" x14ac:dyDescent="0.3">
      <c r="A71" s="43" t="s">
        <v>221</v>
      </c>
      <c r="B71" s="177">
        <v>1</v>
      </c>
      <c r="C71" s="368">
        <v>0</v>
      </c>
      <c r="D71" s="234">
        <v>0</v>
      </c>
      <c r="E71" s="60">
        <f t="shared" si="16"/>
        <v>1</v>
      </c>
      <c r="F71" s="74" t="s">
        <v>505</v>
      </c>
      <c r="G71" s="175">
        <v>0</v>
      </c>
      <c r="H71" s="257">
        <v>5</v>
      </c>
      <c r="I71" s="235">
        <v>5</v>
      </c>
      <c r="J71" s="76">
        <f t="shared" si="17"/>
        <v>10</v>
      </c>
    </row>
    <row r="72" spans="1:10" ht="14.95" thickBot="1" x14ac:dyDescent="0.3">
      <c r="A72" s="43" t="s">
        <v>944</v>
      </c>
      <c r="B72" s="177">
        <v>1</v>
      </c>
      <c r="C72" s="368">
        <v>0</v>
      </c>
      <c r="D72" s="234">
        <v>0</v>
      </c>
      <c r="E72" s="60">
        <f t="shared" si="16"/>
        <v>1</v>
      </c>
      <c r="F72" s="74" t="s">
        <v>949</v>
      </c>
      <c r="G72" s="175">
        <v>10</v>
      </c>
      <c r="H72" s="257">
        <v>0</v>
      </c>
      <c r="I72" s="235">
        <v>0</v>
      </c>
      <c r="J72" s="76">
        <f t="shared" si="17"/>
        <v>10</v>
      </c>
    </row>
    <row r="73" spans="1:10" ht="14.95" thickBot="1" x14ac:dyDescent="0.3">
      <c r="A73" s="43" t="s">
        <v>378</v>
      </c>
      <c r="B73" s="177">
        <v>1</v>
      </c>
      <c r="C73" s="368">
        <v>0</v>
      </c>
      <c r="D73" s="234">
        <v>0</v>
      </c>
      <c r="E73" s="60">
        <f t="shared" si="16"/>
        <v>1</v>
      </c>
      <c r="F73" s="74" t="s">
        <v>221</v>
      </c>
      <c r="G73" s="175">
        <v>5</v>
      </c>
      <c r="H73" s="257">
        <v>0</v>
      </c>
      <c r="I73" s="235">
        <v>0</v>
      </c>
      <c r="J73" s="76">
        <f t="shared" si="17"/>
        <v>5</v>
      </c>
    </row>
    <row r="74" spans="1:10" ht="14.95" thickBot="1" x14ac:dyDescent="0.3">
      <c r="A74" s="43" t="s">
        <v>939</v>
      </c>
      <c r="B74" s="177">
        <v>0</v>
      </c>
      <c r="C74" s="368">
        <v>0</v>
      </c>
      <c r="D74" s="234">
        <v>1</v>
      </c>
      <c r="E74" s="60">
        <f t="shared" si="16"/>
        <v>1</v>
      </c>
      <c r="F74" s="74" t="s">
        <v>944</v>
      </c>
      <c r="G74" s="175">
        <v>5</v>
      </c>
      <c r="H74" s="257">
        <v>0</v>
      </c>
      <c r="I74" s="235">
        <v>0</v>
      </c>
      <c r="J74" s="76">
        <f t="shared" si="17"/>
        <v>5</v>
      </c>
    </row>
    <row r="75" spans="1:10" ht="14.95" thickBot="1" x14ac:dyDescent="0.3">
      <c r="A75" s="43" t="s">
        <v>25</v>
      </c>
      <c r="B75" s="177">
        <v>1</v>
      </c>
      <c r="C75" s="368">
        <v>0</v>
      </c>
      <c r="D75" s="234">
        <v>0</v>
      </c>
      <c r="E75" s="60">
        <f t="shared" si="16"/>
        <v>1</v>
      </c>
      <c r="F75" s="74" t="s">
        <v>378</v>
      </c>
      <c r="G75" s="175">
        <v>5</v>
      </c>
      <c r="H75" s="257">
        <v>0</v>
      </c>
      <c r="I75" s="235">
        <v>0</v>
      </c>
      <c r="J75" s="76">
        <f t="shared" si="17"/>
        <v>5</v>
      </c>
    </row>
    <row r="76" spans="1:10" ht="14.95" thickBot="1" x14ac:dyDescent="0.3">
      <c r="A76" s="43" t="s">
        <v>883</v>
      </c>
      <c r="B76" s="177">
        <v>0</v>
      </c>
      <c r="C76" s="368">
        <v>0</v>
      </c>
      <c r="D76" s="234">
        <v>1</v>
      </c>
      <c r="E76" s="60">
        <f t="shared" si="16"/>
        <v>1</v>
      </c>
      <c r="F76" s="74" t="s">
        <v>939</v>
      </c>
      <c r="G76" s="175">
        <v>0</v>
      </c>
      <c r="H76" s="257">
        <v>0</v>
      </c>
      <c r="I76" s="235">
        <v>5</v>
      </c>
      <c r="J76" s="76">
        <f t="shared" si="17"/>
        <v>5</v>
      </c>
    </row>
    <row r="77" spans="1:10" ht="14.95" thickBot="1" x14ac:dyDescent="0.3">
      <c r="A77" s="43" t="s">
        <v>938</v>
      </c>
      <c r="B77" s="177">
        <v>0</v>
      </c>
      <c r="C77" s="368">
        <v>0</v>
      </c>
      <c r="D77" s="234">
        <v>1</v>
      </c>
      <c r="E77" s="60">
        <f t="shared" si="16"/>
        <v>1</v>
      </c>
      <c r="F77" s="74" t="s">
        <v>25</v>
      </c>
      <c r="G77" s="175">
        <v>5</v>
      </c>
      <c r="H77" s="257">
        <v>0</v>
      </c>
      <c r="I77" s="235">
        <v>0</v>
      </c>
      <c r="J77" s="76">
        <f t="shared" si="17"/>
        <v>5</v>
      </c>
    </row>
    <row r="78" spans="1:10" ht="14.95" thickBot="1" x14ac:dyDescent="0.3">
      <c r="A78" s="43" t="s">
        <v>888</v>
      </c>
      <c r="B78" s="177">
        <v>1</v>
      </c>
      <c r="C78" s="368">
        <v>0</v>
      </c>
      <c r="D78" s="234">
        <v>0</v>
      </c>
      <c r="E78" s="60">
        <f t="shared" si="16"/>
        <v>1</v>
      </c>
      <c r="F78" s="74" t="s">
        <v>883</v>
      </c>
      <c r="G78" s="175">
        <v>0</v>
      </c>
      <c r="H78" s="257">
        <v>0</v>
      </c>
      <c r="I78" s="235">
        <v>5</v>
      </c>
      <c r="J78" s="76">
        <f t="shared" si="17"/>
        <v>5</v>
      </c>
    </row>
    <row r="79" spans="1:10" ht="14.95" thickBot="1" x14ac:dyDescent="0.3">
      <c r="A79" s="43" t="s">
        <v>1063</v>
      </c>
      <c r="B79" s="177">
        <v>0</v>
      </c>
      <c r="C79" s="368">
        <v>0</v>
      </c>
      <c r="D79" s="234">
        <v>1</v>
      </c>
      <c r="E79" s="60">
        <f t="shared" si="16"/>
        <v>1</v>
      </c>
      <c r="F79" s="74" t="s">
        <v>938</v>
      </c>
      <c r="G79" s="175">
        <v>0</v>
      </c>
      <c r="H79" s="257">
        <v>0</v>
      </c>
      <c r="I79" s="235">
        <v>5</v>
      </c>
      <c r="J79" s="76">
        <f t="shared" si="17"/>
        <v>5</v>
      </c>
    </row>
    <row r="80" spans="1:10" ht="14.95" thickBot="1" x14ac:dyDescent="0.3">
      <c r="A80" s="43" t="s">
        <v>238</v>
      </c>
      <c r="B80" s="177">
        <v>0</v>
      </c>
      <c r="C80" s="368">
        <v>0</v>
      </c>
      <c r="D80" s="234">
        <v>1</v>
      </c>
      <c r="E80" s="60">
        <f t="shared" si="16"/>
        <v>1</v>
      </c>
      <c r="F80" s="74" t="s">
        <v>888</v>
      </c>
      <c r="G80" s="175">
        <v>5</v>
      </c>
      <c r="H80" s="257">
        <v>0</v>
      </c>
      <c r="I80" s="235">
        <v>0</v>
      </c>
      <c r="J80" s="76">
        <f t="shared" si="17"/>
        <v>5</v>
      </c>
    </row>
    <row r="81" spans="1:10" ht="14.95" thickBot="1" x14ac:dyDescent="0.3">
      <c r="A81" s="43" t="s">
        <v>1098</v>
      </c>
      <c r="B81" s="177">
        <v>1</v>
      </c>
      <c r="C81" s="368">
        <v>0</v>
      </c>
      <c r="D81" s="234">
        <v>0</v>
      </c>
      <c r="E81" s="60">
        <f t="shared" si="16"/>
        <v>1</v>
      </c>
      <c r="F81" s="74" t="s">
        <v>1063</v>
      </c>
      <c r="G81" s="175">
        <v>0</v>
      </c>
      <c r="H81" s="257">
        <v>0</v>
      </c>
      <c r="I81" s="235">
        <v>5</v>
      </c>
      <c r="J81" s="76">
        <f t="shared" si="17"/>
        <v>5</v>
      </c>
    </row>
    <row r="82" spans="1:10" ht="14.95" thickBot="1" x14ac:dyDescent="0.3">
      <c r="A82" s="43" t="s">
        <v>819</v>
      </c>
      <c r="B82" s="177">
        <v>0</v>
      </c>
      <c r="C82" s="368">
        <v>0</v>
      </c>
      <c r="D82" s="234">
        <v>1</v>
      </c>
      <c r="E82" s="60">
        <f t="shared" si="16"/>
        <v>1</v>
      </c>
      <c r="F82" s="74" t="s">
        <v>238</v>
      </c>
      <c r="G82" s="175">
        <v>0</v>
      </c>
      <c r="H82" s="257">
        <v>0</v>
      </c>
      <c r="I82" s="235">
        <v>5</v>
      </c>
      <c r="J82" s="76">
        <f t="shared" si="17"/>
        <v>5</v>
      </c>
    </row>
    <row r="83" spans="1:10" ht="14.95" thickBot="1" x14ac:dyDescent="0.3">
      <c r="A83" s="43" t="s">
        <v>579</v>
      </c>
      <c r="B83" s="177">
        <v>0</v>
      </c>
      <c r="C83" s="368">
        <v>0</v>
      </c>
      <c r="D83" s="234">
        <v>1</v>
      </c>
      <c r="E83" s="60">
        <f t="shared" si="16"/>
        <v>1</v>
      </c>
      <c r="F83" s="74" t="s">
        <v>1098</v>
      </c>
      <c r="G83" s="175">
        <v>5</v>
      </c>
      <c r="H83" s="257">
        <v>0</v>
      </c>
      <c r="I83" s="235">
        <v>0</v>
      </c>
      <c r="J83" s="76">
        <f t="shared" si="17"/>
        <v>5</v>
      </c>
    </row>
    <row r="84" spans="1:10" ht="14.95" thickBot="1" x14ac:dyDescent="0.3">
      <c r="A84" s="43" t="s">
        <v>941</v>
      </c>
      <c r="B84" s="177">
        <v>1</v>
      </c>
      <c r="C84" s="368">
        <v>0</v>
      </c>
      <c r="D84" s="234">
        <v>0</v>
      </c>
      <c r="E84" s="60">
        <f t="shared" si="16"/>
        <v>1</v>
      </c>
      <c r="F84" s="74" t="s">
        <v>819</v>
      </c>
      <c r="G84" s="175">
        <v>0</v>
      </c>
      <c r="H84" s="257">
        <v>0</v>
      </c>
      <c r="I84" s="235">
        <v>5</v>
      </c>
      <c r="J84" s="76">
        <f t="shared" si="17"/>
        <v>5</v>
      </c>
    </row>
    <row r="85" spans="1:10" ht="14.95" thickBot="1" x14ac:dyDescent="0.3">
      <c r="A85" s="43" t="s">
        <v>5</v>
      </c>
      <c r="B85" s="177">
        <v>0</v>
      </c>
      <c r="C85" s="368">
        <v>1</v>
      </c>
      <c r="D85" s="234">
        <v>0</v>
      </c>
      <c r="E85" s="60">
        <f t="shared" si="16"/>
        <v>1</v>
      </c>
      <c r="F85" s="74" t="s">
        <v>579</v>
      </c>
      <c r="G85" s="175">
        <v>0</v>
      </c>
      <c r="H85" s="257">
        <v>0</v>
      </c>
      <c r="I85" s="235">
        <v>5</v>
      </c>
      <c r="J85" s="76">
        <f t="shared" si="17"/>
        <v>5</v>
      </c>
    </row>
    <row r="86" spans="1:10" ht="14.95" thickBot="1" x14ac:dyDescent="0.3">
      <c r="A86" s="43" t="s">
        <v>867</v>
      </c>
      <c r="B86" s="177">
        <v>0</v>
      </c>
      <c r="C86" s="368">
        <v>0</v>
      </c>
      <c r="D86" s="234">
        <v>0</v>
      </c>
      <c r="E86" s="60">
        <f t="shared" si="16"/>
        <v>0</v>
      </c>
      <c r="F86" s="74" t="s">
        <v>941</v>
      </c>
      <c r="G86" s="175">
        <v>5</v>
      </c>
      <c r="H86" s="257">
        <v>0</v>
      </c>
      <c r="I86" s="235">
        <v>0</v>
      </c>
      <c r="J86" s="76">
        <f t="shared" si="17"/>
        <v>5</v>
      </c>
    </row>
    <row r="87" spans="1:10" ht="14.95" thickBot="1" x14ac:dyDescent="0.3">
      <c r="A87" s="43" t="s">
        <v>383</v>
      </c>
      <c r="B87" s="177">
        <v>0</v>
      </c>
      <c r="C87" s="368">
        <v>0</v>
      </c>
      <c r="D87" s="234">
        <v>0</v>
      </c>
      <c r="E87" s="60">
        <f t="shared" si="16"/>
        <v>0</v>
      </c>
      <c r="F87" s="74" t="s">
        <v>5</v>
      </c>
      <c r="G87" s="175">
        <v>0</v>
      </c>
      <c r="H87" s="257">
        <v>5</v>
      </c>
      <c r="I87" s="235">
        <v>0</v>
      </c>
      <c r="J87" s="76">
        <f t="shared" si="17"/>
        <v>5</v>
      </c>
    </row>
    <row r="88" spans="1:10" ht="14.95" thickBot="1" x14ac:dyDescent="0.3">
      <c r="A88" s="43" t="s">
        <v>175</v>
      </c>
      <c r="B88" s="177">
        <v>0</v>
      </c>
      <c r="C88" s="368">
        <v>0</v>
      </c>
      <c r="D88" s="234">
        <v>0</v>
      </c>
      <c r="E88" s="60">
        <f t="shared" si="16"/>
        <v>0</v>
      </c>
      <c r="F88" s="74" t="s">
        <v>867</v>
      </c>
      <c r="G88" s="175">
        <v>0</v>
      </c>
      <c r="H88" s="257">
        <v>0</v>
      </c>
      <c r="I88" s="235">
        <v>0</v>
      </c>
      <c r="J88" s="76">
        <f t="shared" si="17"/>
        <v>0</v>
      </c>
    </row>
    <row r="89" spans="1:10" ht="14.95" thickBot="1" x14ac:dyDescent="0.3">
      <c r="A89" s="43" t="s">
        <v>945</v>
      </c>
      <c r="B89" s="177">
        <v>0</v>
      </c>
      <c r="C89" s="368">
        <v>0</v>
      </c>
      <c r="D89" s="234">
        <v>0</v>
      </c>
      <c r="E89" s="60">
        <f t="shared" ref="E89:E120" si="18">SUM(B89:D89)</f>
        <v>0</v>
      </c>
      <c r="F89" s="74" t="s">
        <v>383</v>
      </c>
      <c r="G89" s="175">
        <v>0</v>
      </c>
      <c r="H89" s="257">
        <v>0</v>
      </c>
      <c r="I89" s="235">
        <v>0</v>
      </c>
      <c r="J89" s="76">
        <f t="shared" ref="J89:J120" si="19">SUM(G89:I89)</f>
        <v>0</v>
      </c>
    </row>
    <row r="90" spans="1:10" ht="14.95" thickBot="1" x14ac:dyDescent="0.3">
      <c r="A90" s="43" t="s">
        <v>948</v>
      </c>
      <c r="B90" s="177">
        <v>0</v>
      </c>
      <c r="C90" s="368">
        <v>0</v>
      </c>
      <c r="D90" s="234">
        <v>0</v>
      </c>
      <c r="E90" s="60">
        <f t="shared" si="18"/>
        <v>0</v>
      </c>
      <c r="F90" s="74" t="s">
        <v>945</v>
      </c>
      <c r="G90" s="175">
        <v>0</v>
      </c>
      <c r="H90" s="257">
        <v>0</v>
      </c>
      <c r="I90" s="235">
        <v>0</v>
      </c>
      <c r="J90" s="76">
        <f t="shared" si="19"/>
        <v>0</v>
      </c>
    </row>
    <row r="91" spans="1:10" ht="14.95" thickBot="1" x14ac:dyDescent="0.3">
      <c r="A91" s="43" t="s">
        <v>946</v>
      </c>
      <c r="B91" s="177">
        <v>0</v>
      </c>
      <c r="C91" s="368">
        <v>0</v>
      </c>
      <c r="D91" s="234">
        <v>0</v>
      </c>
      <c r="E91" s="60">
        <f t="shared" si="18"/>
        <v>0</v>
      </c>
      <c r="F91" s="74" t="s">
        <v>948</v>
      </c>
      <c r="G91" s="175">
        <v>0</v>
      </c>
      <c r="H91" s="257">
        <v>0</v>
      </c>
      <c r="I91" s="235">
        <v>0</v>
      </c>
      <c r="J91" s="76">
        <f t="shared" si="19"/>
        <v>0</v>
      </c>
    </row>
    <row r="92" spans="1:10" ht="14.95" thickBot="1" x14ac:dyDescent="0.3">
      <c r="A92" s="43" t="s">
        <v>222</v>
      </c>
      <c r="B92" s="177">
        <v>0</v>
      </c>
      <c r="C92" s="368">
        <v>0</v>
      </c>
      <c r="D92" s="234">
        <v>0</v>
      </c>
      <c r="E92" s="60">
        <f t="shared" si="18"/>
        <v>0</v>
      </c>
      <c r="F92" s="74" t="s">
        <v>946</v>
      </c>
      <c r="G92" s="175">
        <v>0</v>
      </c>
      <c r="H92" s="257">
        <v>0</v>
      </c>
      <c r="I92" s="235">
        <v>0</v>
      </c>
      <c r="J92" s="76">
        <f t="shared" si="19"/>
        <v>0</v>
      </c>
    </row>
    <row r="93" spans="1:10" ht="14.95" thickBot="1" x14ac:dyDescent="0.3">
      <c r="A93" s="43" t="s">
        <v>852</v>
      </c>
      <c r="B93" s="177">
        <v>0</v>
      </c>
      <c r="C93" s="368">
        <v>0</v>
      </c>
      <c r="D93" s="234">
        <v>0</v>
      </c>
      <c r="E93" s="60">
        <f t="shared" si="18"/>
        <v>0</v>
      </c>
      <c r="F93" s="74" t="s">
        <v>852</v>
      </c>
      <c r="G93" s="175">
        <v>0</v>
      </c>
      <c r="H93" s="257">
        <v>0</v>
      </c>
      <c r="I93" s="235">
        <v>0</v>
      </c>
      <c r="J93" s="76">
        <f t="shared" si="19"/>
        <v>0</v>
      </c>
    </row>
    <row r="94" spans="1:10" ht="14.95" thickBot="1" x14ac:dyDescent="0.3">
      <c r="A94" s="43" t="s">
        <v>657</v>
      </c>
      <c r="B94" s="177">
        <v>0</v>
      </c>
      <c r="C94" s="368">
        <v>0</v>
      </c>
      <c r="D94" s="234">
        <v>0</v>
      </c>
      <c r="E94" s="60">
        <f t="shared" si="18"/>
        <v>0</v>
      </c>
      <c r="F94" s="74" t="s">
        <v>657</v>
      </c>
      <c r="G94" s="175">
        <v>0</v>
      </c>
      <c r="H94" s="257">
        <v>0</v>
      </c>
      <c r="I94" s="235">
        <v>0</v>
      </c>
      <c r="J94" s="76">
        <f t="shared" si="19"/>
        <v>0</v>
      </c>
    </row>
    <row r="95" spans="1:10" ht="14.95" thickBot="1" x14ac:dyDescent="0.3">
      <c r="A95" s="43" t="s">
        <v>590</v>
      </c>
      <c r="B95" s="177">
        <v>0</v>
      </c>
      <c r="C95" s="368">
        <v>0</v>
      </c>
      <c r="D95" s="234">
        <v>0</v>
      </c>
      <c r="E95" s="60">
        <f t="shared" si="18"/>
        <v>0</v>
      </c>
      <c r="F95" s="74" t="s">
        <v>590</v>
      </c>
      <c r="G95" s="175">
        <v>0</v>
      </c>
      <c r="H95" s="257">
        <v>0</v>
      </c>
      <c r="I95" s="235">
        <v>0</v>
      </c>
      <c r="J95" s="76">
        <f t="shared" si="19"/>
        <v>0</v>
      </c>
    </row>
    <row r="96" spans="1:10" ht="14.95" thickBot="1" x14ac:dyDescent="0.3">
      <c r="A96" s="43" t="s">
        <v>240</v>
      </c>
      <c r="B96" s="177">
        <v>0</v>
      </c>
      <c r="C96" s="368">
        <v>0</v>
      </c>
      <c r="D96" s="234">
        <v>0</v>
      </c>
      <c r="E96" s="60">
        <f t="shared" si="18"/>
        <v>0</v>
      </c>
      <c r="F96" s="74" t="s">
        <v>240</v>
      </c>
      <c r="G96" s="175">
        <v>0</v>
      </c>
      <c r="H96" s="257">
        <v>0</v>
      </c>
      <c r="I96" s="235">
        <v>0</v>
      </c>
      <c r="J96" s="76">
        <f t="shared" si="19"/>
        <v>0</v>
      </c>
    </row>
    <row r="97" spans="1:10" ht="14.95" thickBot="1" x14ac:dyDescent="0.3">
      <c r="A97" s="43" t="s">
        <v>654</v>
      </c>
      <c r="B97" s="177">
        <v>0</v>
      </c>
      <c r="C97" s="368">
        <v>0</v>
      </c>
      <c r="D97" s="234">
        <v>0</v>
      </c>
      <c r="E97" s="60">
        <f t="shared" si="18"/>
        <v>0</v>
      </c>
      <c r="F97" s="74" t="s">
        <v>654</v>
      </c>
      <c r="G97" s="175">
        <v>0</v>
      </c>
      <c r="H97" s="257">
        <v>0</v>
      </c>
      <c r="I97" s="235">
        <v>0</v>
      </c>
      <c r="J97" s="76">
        <f t="shared" si="19"/>
        <v>0</v>
      </c>
    </row>
    <row r="98" spans="1:10" ht="14.95" thickBot="1" x14ac:dyDescent="0.3">
      <c r="A98" s="43" t="s">
        <v>947</v>
      </c>
      <c r="B98" s="177">
        <v>0</v>
      </c>
      <c r="C98" s="368">
        <v>0</v>
      </c>
      <c r="D98" s="234">
        <v>0</v>
      </c>
      <c r="E98" s="60">
        <f t="shared" si="18"/>
        <v>0</v>
      </c>
      <c r="F98" s="74" t="s">
        <v>947</v>
      </c>
      <c r="G98" s="175">
        <v>0</v>
      </c>
      <c r="H98" s="257">
        <v>0</v>
      </c>
      <c r="I98" s="235">
        <v>0</v>
      </c>
      <c r="J98" s="76">
        <f t="shared" si="19"/>
        <v>0</v>
      </c>
    </row>
    <row r="99" spans="1:10" ht="14.95" thickBot="1" x14ac:dyDescent="0.3">
      <c r="A99" s="43" t="s">
        <v>943</v>
      </c>
      <c r="B99" s="177">
        <v>0</v>
      </c>
      <c r="C99" s="368">
        <v>0</v>
      </c>
      <c r="D99" s="234">
        <v>0</v>
      </c>
      <c r="E99" s="60">
        <f t="shared" si="18"/>
        <v>0</v>
      </c>
      <c r="F99" s="74" t="s">
        <v>943</v>
      </c>
      <c r="G99" s="175">
        <v>0</v>
      </c>
      <c r="H99" s="257">
        <v>0</v>
      </c>
      <c r="I99" s="235">
        <v>0</v>
      </c>
      <c r="J99" s="76">
        <f t="shared" si="19"/>
        <v>0</v>
      </c>
    </row>
    <row r="100" spans="1:10" ht="14.95" thickBot="1" x14ac:dyDescent="0.3">
      <c r="A100" s="43" t="s">
        <v>661</v>
      </c>
      <c r="B100" s="177">
        <v>0</v>
      </c>
      <c r="C100" s="368">
        <v>0</v>
      </c>
      <c r="D100" s="234">
        <v>0</v>
      </c>
      <c r="E100" s="60">
        <f t="shared" si="18"/>
        <v>0</v>
      </c>
      <c r="F100" s="74" t="s">
        <v>661</v>
      </c>
      <c r="G100" s="175">
        <v>0</v>
      </c>
      <c r="H100" s="257">
        <v>0</v>
      </c>
      <c r="I100" s="235">
        <v>0</v>
      </c>
      <c r="J100" s="76">
        <f t="shared" si="19"/>
        <v>0</v>
      </c>
    </row>
    <row r="101" spans="1:10" ht="14.95" thickBot="1" x14ac:dyDescent="0.3">
      <c r="A101" s="43" t="s">
        <v>24</v>
      </c>
      <c r="B101" s="177">
        <v>0</v>
      </c>
      <c r="C101" s="368">
        <v>0</v>
      </c>
      <c r="D101" s="234">
        <v>0</v>
      </c>
      <c r="E101" s="60">
        <f t="shared" si="18"/>
        <v>0</v>
      </c>
      <c r="F101" s="74" t="s">
        <v>24</v>
      </c>
      <c r="G101" s="175">
        <v>0</v>
      </c>
      <c r="H101" s="257">
        <v>0</v>
      </c>
      <c r="I101" s="235">
        <v>0</v>
      </c>
      <c r="J101" s="76">
        <f t="shared" si="19"/>
        <v>0</v>
      </c>
    </row>
    <row r="102" spans="1:10" ht="14.95" thickBot="1" x14ac:dyDescent="0.3">
      <c r="A102" s="43" t="s">
        <v>4</v>
      </c>
      <c r="B102" s="177">
        <v>0</v>
      </c>
      <c r="C102" s="368">
        <v>0</v>
      </c>
      <c r="D102" s="234">
        <v>0</v>
      </c>
      <c r="E102" s="60">
        <f t="shared" si="18"/>
        <v>0</v>
      </c>
      <c r="F102" s="74" t="s">
        <v>4</v>
      </c>
      <c r="G102" s="175">
        <v>0</v>
      </c>
      <c r="H102" s="257">
        <v>0</v>
      </c>
      <c r="I102" s="235">
        <v>0</v>
      </c>
      <c r="J102" s="76">
        <f t="shared" si="19"/>
        <v>0</v>
      </c>
    </row>
    <row r="103" spans="1:10" ht="14.95" thickBot="1" x14ac:dyDescent="0.3">
      <c r="A103" s="43" t="s">
        <v>62</v>
      </c>
      <c r="B103" s="177">
        <v>0</v>
      </c>
      <c r="C103" s="368">
        <v>0</v>
      </c>
      <c r="D103" s="234">
        <v>0</v>
      </c>
      <c r="E103" s="60">
        <f t="shared" si="18"/>
        <v>0</v>
      </c>
      <c r="F103" s="74" t="s">
        <v>62</v>
      </c>
      <c r="G103" s="175">
        <v>0</v>
      </c>
      <c r="H103" s="257">
        <v>0</v>
      </c>
      <c r="I103" s="235">
        <v>0</v>
      </c>
      <c r="J103" s="76">
        <f t="shared" si="19"/>
        <v>0</v>
      </c>
    </row>
    <row r="104" spans="1:10" ht="14.95" thickBot="1" x14ac:dyDescent="0.3">
      <c r="A104" s="43" t="s">
        <v>527</v>
      </c>
      <c r="B104" s="177">
        <v>0</v>
      </c>
      <c r="C104" s="368">
        <v>0</v>
      </c>
      <c r="D104" s="234">
        <v>0</v>
      </c>
      <c r="E104" s="60">
        <f t="shared" si="18"/>
        <v>0</v>
      </c>
      <c r="F104" s="74" t="s">
        <v>527</v>
      </c>
      <c r="G104" s="175">
        <v>0</v>
      </c>
      <c r="H104" s="257">
        <v>0</v>
      </c>
      <c r="I104" s="235">
        <v>0</v>
      </c>
      <c r="J104" s="76">
        <f t="shared" si="19"/>
        <v>0</v>
      </c>
    </row>
    <row r="105" spans="1:10" ht="14.95" thickBot="1" x14ac:dyDescent="0.3">
      <c r="A105" s="43" t="s">
        <v>56</v>
      </c>
      <c r="B105" s="177">
        <v>0</v>
      </c>
      <c r="C105" s="368">
        <v>0</v>
      </c>
      <c r="D105" s="234">
        <v>0</v>
      </c>
      <c r="E105" s="60">
        <f t="shared" si="18"/>
        <v>0</v>
      </c>
      <c r="F105" s="74" t="s">
        <v>56</v>
      </c>
      <c r="G105" s="175">
        <v>0</v>
      </c>
      <c r="H105" s="257">
        <v>0</v>
      </c>
      <c r="I105" s="235">
        <v>0</v>
      </c>
      <c r="J105" s="76">
        <f t="shared" si="19"/>
        <v>0</v>
      </c>
    </row>
    <row r="106" spans="1:10" ht="14.95" thickBot="1" x14ac:dyDescent="0.3">
      <c r="A106" s="43" t="s">
        <v>217</v>
      </c>
      <c r="B106" s="177">
        <v>0</v>
      </c>
      <c r="C106" s="368">
        <v>0</v>
      </c>
      <c r="D106" s="234">
        <v>0</v>
      </c>
      <c r="E106" s="60">
        <f t="shared" si="18"/>
        <v>0</v>
      </c>
      <c r="F106" s="74" t="s">
        <v>217</v>
      </c>
      <c r="G106" s="175">
        <v>0</v>
      </c>
      <c r="H106" s="257">
        <v>0</v>
      </c>
      <c r="I106" s="235">
        <v>0</v>
      </c>
      <c r="J106" s="76">
        <f t="shared" si="19"/>
        <v>0</v>
      </c>
    </row>
    <row r="107" spans="1:10" ht="14.95" thickBot="1" x14ac:dyDescent="0.3">
      <c r="A107" s="43" t="s">
        <v>3</v>
      </c>
      <c r="B107" s="177">
        <f>SUM(B57:B106)</f>
        <v>28</v>
      </c>
      <c r="C107" s="368">
        <f>SUM(C57:C106)</f>
        <v>8</v>
      </c>
      <c r="D107" s="234">
        <f>SUM(D57:D106)</f>
        <v>15</v>
      </c>
      <c r="E107" s="60">
        <f t="shared" ref="E107" si="20">SUM(B107:D107)</f>
        <v>51</v>
      </c>
      <c r="F107" s="74" t="s">
        <v>3</v>
      </c>
      <c r="G107" s="175">
        <f>SUM(G57:G106)</f>
        <v>188</v>
      </c>
      <c r="H107" s="257">
        <f>SUM(H57:H106)</f>
        <v>75</v>
      </c>
      <c r="I107" s="235">
        <f>SUM(I57:I106)</f>
        <v>101</v>
      </c>
      <c r="J107" s="76">
        <f t="shared" ref="J107" si="21">SUM(G107:I107)</f>
        <v>364</v>
      </c>
    </row>
    <row r="108" spans="1:10" ht="16.3" x14ac:dyDescent="0.3">
      <c r="A108" s="455" t="s">
        <v>34</v>
      </c>
      <c r="B108" s="511"/>
      <c r="C108" s="511"/>
      <c r="D108" s="511"/>
      <c r="E108" s="511"/>
      <c r="F108" s="511"/>
      <c r="G108" s="511"/>
      <c r="H108" s="511"/>
      <c r="I108" s="511"/>
      <c r="J108" s="511"/>
    </row>
  </sheetData>
  <sortState xmlns:xlrd2="http://schemas.microsoft.com/office/spreadsheetml/2017/richdata2" ref="F57:J106">
    <sortCondition descending="1" ref="J57:J106"/>
  </sortState>
  <mergeCells count="63">
    <mergeCell ref="A108:J108"/>
    <mergeCell ref="BA20:BC21"/>
    <mergeCell ref="BA1:BC2"/>
    <mergeCell ref="AX1:AZ2"/>
    <mergeCell ref="AX11:AZ12"/>
    <mergeCell ref="K38:W38"/>
    <mergeCell ref="AI29:AK30"/>
    <mergeCell ref="AU29:AW30"/>
    <mergeCell ref="AX20:AZ21"/>
    <mergeCell ref="AO29:AQ30"/>
    <mergeCell ref="AL29:AN30"/>
    <mergeCell ref="AR20:AT21"/>
    <mergeCell ref="AU20:AW21"/>
    <mergeCell ref="AR29:AT30"/>
    <mergeCell ref="AL20:AN21"/>
    <mergeCell ref="AI1:AK2"/>
    <mergeCell ref="BG1:BI2"/>
    <mergeCell ref="BA11:BC12"/>
    <mergeCell ref="AR1:AT2"/>
    <mergeCell ref="AR11:AT12"/>
    <mergeCell ref="AO1:AQ2"/>
    <mergeCell ref="AU1:AW2"/>
    <mergeCell ref="BD1:BF2"/>
    <mergeCell ref="AU11:AW12"/>
    <mergeCell ref="AO20:AQ21"/>
    <mergeCell ref="AI11:AK12"/>
    <mergeCell ref="AI20:AK21"/>
    <mergeCell ref="R20:T21"/>
    <mergeCell ref="AL11:AN12"/>
    <mergeCell ref="AO11:AQ12"/>
    <mergeCell ref="AF11:AH12"/>
    <mergeCell ref="AF20:AH21"/>
    <mergeCell ref="AC11:AE12"/>
    <mergeCell ref="AC20:AE21"/>
    <mergeCell ref="AL1:AN2"/>
    <mergeCell ref="K37:W37"/>
    <mergeCell ref="R1:S2"/>
    <mergeCell ref="R11:T12"/>
    <mergeCell ref="O29:Q30"/>
    <mergeCell ref="T1:V2"/>
    <mergeCell ref="O20:Q21"/>
    <mergeCell ref="U20:W21"/>
    <mergeCell ref="W1:Y2"/>
    <mergeCell ref="U29:W30"/>
    <mergeCell ref="U11:W12"/>
    <mergeCell ref="AF1:AH2"/>
    <mergeCell ref="AF29:AH30"/>
    <mergeCell ref="AC1:AE2"/>
    <mergeCell ref="AC29:AE30"/>
    <mergeCell ref="A1:J1"/>
    <mergeCell ref="K11:K12"/>
    <mergeCell ref="K1:K2"/>
    <mergeCell ref="L1:N2"/>
    <mergeCell ref="K36:W36"/>
    <mergeCell ref="L11:N12"/>
    <mergeCell ref="O1:Q2"/>
    <mergeCell ref="O11:Q12"/>
    <mergeCell ref="A54:H54"/>
    <mergeCell ref="K20:K21"/>
    <mergeCell ref="L20:N21"/>
    <mergeCell ref="R29:T30"/>
    <mergeCell ref="K29:K30"/>
    <mergeCell ref="L29:N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08"/>
  <sheetViews>
    <sheetView workbookViewId="0">
      <selection activeCell="N20" sqref="N20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8" width="5.75" customWidth="1"/>
    <col min="49" max="57" width="5.625" customWidth="1"/>
  </cols>
  <sheetData>
    <row r="1" spans="1:64" ht="14.95" customHeight="1" thickBot="1" x14ac:dyDescent="0.3">
      <c r="A1" s="529" t="s">
        <v>904</v>
      </c>
      <c r="B1" s="530"/>
      <c r="C1" s="530"/>
      <c r="D1" s="530"/>
      <c r="E1" s="530"/>
      <c r="F1" s="530"/>
      <c r="G1" s="530"/>
      <c r="H1" s="530"/>
      <c r="I1" s="530"/>
      <c r="J1" s="531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94"/>
      <c r="AB1" s="457" t="s">
        <v>601</v>
      </c>
      <c r="AC1" s="458"/>
      <c r="AD1" s="459"/>
      <c r="AE1" s="457" t="s">
        <v>494</v>
      </c>
      <c r="AF1" s="458"/>
      <c r="AG1" s="459"/>
      <c r="AH1" s="457" t="s">
        <v>407</v>
      </c>
      <c r="AI1" s="458"/>
      <c r="AJ1" s="459"/>
      <c r="AK1" s="457" t="s">
        <v>313</v>
      </c>
      <c r="AL1" s="458"/>
      <c r="AM1" s="459"/>
      <c r="AN1" s="457" t="s">
        <v>227</v>
      </c>
      <c r="AO1" s="458"/>
      <c r="AP1" s="459"/>
      <c r="AQ1" s="457" t="s">
        <v>172</v>
      </c>
      <c r="AR1" s="458"/>
      <c r="AS1" s="459"/>
      <c r="AT1" s="457" t="s">
        <v>79</v>
      </c>
      <c r="AU1" s="458"/>
      <c r="AV1" s="459"/>
      <c r="AW1" s="457" t="s">
        <v>54</v>
      </c>
      <c r="AX1" s="458"/>
      <c r="AY1" s="459"/>
      <c r="AZ1" s="457" t="s">
        <v>50</v>
      </c>
      <c r="BA1" s="458"/>
      <c r="BB1" s="459"/>
      <c r="BC1" s="457" t="s">
        <v>41</v>
      </c>
      <c r="BD1" s="458"/>
      <c r="BE1" s="459"/>
      <c r="BG1" s="4"/>
      <c r="BH1" s="4"/>
      <c r="BI1" s="4"/>
      <c r="BL1" s="4"/>
    </row>
    <row r="2" spans="1:64" ht="14.95" customHeight="1" thickBot="1" x14ac:dyDescent="0.3">
      <c r="A2" s="186" t="s">
        <v>0</v>
      </c>
      <c r="B2" s="184" t="s">
        <v>226</v>
      </c>
      <c r="C2" s="267" t="s">
        <v>30</v>
      </c>
      <c r="D2" s="219" t="s">
        <v>339</v>
      </c>
      <c r="E2" s="188" t="s">
        <v>1</v>
      </c>
      <c r="F2" s="273" t="s">
        <v>2</v>
      </c>
      <c r="G2" s="277" t="s">
        <v>226</v>
      </c>
      <c r="H2" s="269" t="s">
        <v>30</v>
      </c>
      <c r="I2" s="270" t="s">
        <v>339</v>
      </c>
      <c r="J2" s="275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93"/>
      <c r="AA2" s="94"/>
      <c r="AB2" s="460"/>
      <c r="AC2" s="461"/>
      <c r="AD2" s="462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</row>
    <row r="3" spans="1:64" ht="14.95" customHeight="1" thickBot="1" x14ac:dyDescent="0.3">
      <c r="A3" s="187" t="s">
        <v>466</v>
      </c>
      <c r="B3" s="185">
        <v>0</v>
      </c>
      <c r="C3" s="268">
        <v>0</v>
      </c>
      <c r="D3" s="220">
        <v>0</v>
      </c>
      <c r="E3" s="189">
        <f t="shared" ref="E3:E7" si="0">SUM(B3:D3)</f>
        <v>0</v>
      </c>
      <c r="F3" s="274" t="s">
        <v>466</v>
      </c>
      <c r="G3" s="278">
        <v>0</v>
      </c>
      <c r="H3" s="271">
        <v>0</v>
      </c>
      <c r="I3" s="272">
        <v>0</v>
      </c>
      <c r="J3" s="276">
        <f t="shared" ref="J3:J7" si="1">SUM(G3:I3)</f>
        <v>0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</row>
    <row r="4" spans="1:64" ht="14.95" customHeight="1" thickBot="1" x14ac:dyDescent="0.3">
      <c r="A4" s="187" t="s">
        <v>489</v>
      </c>
      <c r="B4" s="185">
        <v>0</v>
      </c>
      <c r="C4" s="268">
        <v>1</v>
      </c>
      <c r="D4" s="220">
        <v>0</v>
      </c>
      <c r="E4" s="189">
        <f t="shared" si="0"/>
        <v>1</v>
      </c>
      <c r="F4" s="274" t="s">
        <v>489</v>
      </c>
      <c r="G4" s="278">
        <v>0</v>
      </c>
      <c r="H4" s="271">
        <v>5</v>
      </c>
      <c r="I4" s="272">
        <v>0</v>
      </c>
      <c r="J4" s="276">
        <f t="shared" si="1"/>
        <v>5</v>
      </c>
      <c r="K4" s="187" t="s">
        <v>371</v>
      </c>
      <c r="L4" s="189" t="s">
        <v>15</v>
      </c>
      <c r="M4" s="189" t="s">
        <v>15</v>
      </c>
      <c r="N4" s="190" t="s">
        <v>15</v>
      </c>
      <c r="O4" s="189" t="s">
        <v>15</v>
      </c>
      <c r="P4" s="189" t="s">
        <v>15</v>
      </c>
      <c r="Q4" s="190" t="s">
        <v>15</v>
      </c>
      <c r="R4" s="189" t="s">
        <v>18</v>
      </c>
      <c r="S4" s="189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</row>
    <row r="5" spans="1:64" ht="14.95" customHeight="1" thickBot="1" x14ac:dyDescent="0.3">
      <c r="A5" s="187" t="s">
        <v>371</v>
      </c>
      <c r="B5" s="185">
        <v>0</v>
      </c>
      <c r="C5" s="268">
        <v>1</v>
      </c>
      <c r="D5" s="220">
        <v>0</v>
      </c>
      <c r="E5" s="189">
        <f t="shared" si="0"/>
        <v>1</v>
      </c>
      <c r="F5" s="274" t="s">
        <v>371</v>
      </c>
      <c r="G5" s="278">
        <v>0</v>
      </c>
      <c r="H5" s="271">
        <v>5</v>
      </c>
      <c r="I5" s="272">
        <v>0</v>
      </c>
      <c r="J5" s="276">
        <f t="shared" si="1"/>
        <v>5</v>
      </c>
      <c r="K5" s="187" t="s">
        <v>359</v>
      </c>
      <c r="L5" s="189">
        <v>1</v>
      </c>
      <c r="M5" s="189">
        <v>1</v>
      </c>
      <c r="N5" s="190">
        <f t="shared" ref="N5" si="2">SUM(L5/M5)*100</f>
        <v>100</v>
      </c>
      <c r="O5" s="189" t="s">
        <v>15</v>
      </c>
      <c r="P5" s="189" t="s">
        <v>15</v>
      </c>
      <c r="Q5" s="190" t="s">
        <v>15</v>
      </c>
      <c r="R5" s="189">
        <v>3</v>
      </c>
      <c r="S5" s="189">
        <v>1</v>
      </c>
      <c r="T5" s="7">
        <v>9</v>
      </c>
      <c r="U5" s="7">
        <v>10</v>
      </c>
      <c r="V5" s="7">
        <v>90</v>
      </c>
      <c r="W5" s="7" t="s">
        <v>15</v>
      </c>
      <c r="X5" s="7" t="s">
        <v>15</v>
      </c>
      <c r="Y5" s="7" t="s">
        <v>15</v>
      </c>
      <c r="Z5" s="93"/>
      <c r="AA5" s="94"/>
      <c r="AB5" s="148" t="s">
        <v>15</v>
      </c>
      <c r="AC5" s="7" t="s">
        <v>15</v>
      </c>
      <c r="AD5" s="7" t="s">
        <v>15</v>
      </c>
      <c r="AE5" s="7" t="s">
        <v>15</v>
      </c>
      <c r="AF5" s="7" t="s">
        <v>15</v>
      </c>
      <c r="AG5" s="7" t="s">
        <v>15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148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</row>
    <row r="6" spans="1:64" ht="14.95" customHeight="1" thickBot="1" x14ac:dyDescent="0.3">
      <c r="A6" s="187" t="s">
        <v>359</v>
      </c>
      <c r="B6" s="185">
        <v>0</v>
      </c>
      <c r="C6" s="268">
        <v>1</v>
      </c>
      <c r="D6" s="220">
        <v>0</v>
      </c>
      <c r="E6" s="189">
        <f t="shared" si="0"/>
        <v>1</v>
      </c>
      <c r="F6" s="274" t="s">
        <v>359</v>
      </c>
      <c r="G6" s="278">
        <v>3</v>
      </c>
      <c r="H6" s="271">
        <v>7</v>
      </c>
      <c r="I6" s="272">
        <v>2</v>
      </c>
      <c r="J6" s="276">
        <f t="shared" si="1"/>
        <v>12</v>
      </c>
      <c r="K6" s="186" t="s">
        <v>584</v>
      </c>
      <c r="L6" s="189">
        <v>7</v>
      </c>
      <c r="M6" s="189">
        <v>9</v>
      </c>
      <c r="N6" s="190">
        <f t="shared" ref="N6" si="3">SUM(L6/M6)*100</f>
        <v>77.777777777777786</v>
      </c>
      <c r="O6" s="189" t="s">
        <v>15</v>
      </c>
      <c r="P6" s="189" t="s">
        <v>15</v>
      </c>
      <c r="Q6" s="190" t="s">
        <v>15</v>
      </c>
      <c r="R6" s="330">
        <v>6</v>
      </c>
      <c r="S6" s="330">
        <v>8</v>
      </c>
      <c r="T6" s="6">
        <v>8</v>
      </c>
      <c r="U6" s="339">
        <v>14</v>
      </c>
      <c r="V6" s="157">
        <v>57.142857142857139</v>
      </c>
      <c r="W6" s="6">
        <v>20</v>
      </c>
      <c r="X6" s="339">
        <v>24</v>
      </c>
      <c r="Y6" s="157">
        <v>83.333333333333343</v>
      </c>
      <c r="Z6" s="94"/>
      <c r="AA6" s="94"/>
      <c r="AB6" s="6">
        <v>42</v>
      </c>
      <c r="AC6" s="152">
        <v>52</v>
      </c>
      <c r="AD6" s="157">
        <v>80.769230769230774</v>
      </c>
      <c r="AE6" s="6">
        <v>25</v>
      </c>
      <c r="AF6" s="6">
        <v>30</v>
      </c>
      <c r="AG6" s="157">
        <v>83.333333333333343</v>
      </c>
      <c r="AH6" s="148">
        <v>50</v>
      </c>
      <c r="AI6" s="7">
        <v>65</v>
      </c>
      <c r="AJ6" s="153">
        <v>76.923076923076934</v>
      </c>
      <c r="AK6" s="148">
        <v>26</v>
      </c>
      <c r="AL6" s="7">
        <v>37</v>
      </c>
      <c r="AM6" s="7">
        <v>70</v>
      </c>
      <c r="AN6" s="148">
        <v>20</v>
      </c>
      <c r="AO6" s="7">
        <v>31</v>
      </c>
      <c r="AP6" s="7">
        <v>65</v>
      </c>
      <c r="AQ6" s="148">
        <v>48</v>
      </c>
      <c r="AR6" s="7">
        <v>57</v>
      </c>
      <c r="AS6" s="7">
        <v>84</v>
      </c>
      <c r="AT6" s="148" t="s">
        <v>15</v>
      </c>
      <c r="AU6" s="7" t="s">
        <v>15</v>
      </c>
      <c r="AV6" s="7" t="s">
        <v>15</v>
      </c>
      <c r="AW6" s="148">
        <v>6</v>
      </c>
      <c r="AX6" s="7">
        <v>8</v>
      </c>
      <c r="AY6" s="7">
        <v>75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</row>
    <row r="7" spans="1:64" ht="14.95" customHeight="1" thickBot="1" x14ac:dyDescent="0.3">
      <c r="A7" s="187" t="s">
        <v>425</v>
      </c>
      <c r="B7" s="185">
        <v>0</v>
      </c>
      <c r="C7" s="268">
        <v>0</v>
      </c>
      <c r="D7" s="220">
        <v>1</v>
      </c>
      <c r="E7" s="189">
        <f t="shared" si="0"/>
        <v>1</v>
      </c>
      <c r="F7" s="274" t="s">
        <v>425</v>
      </c>
      <c r="G7" s="278">
        <v>0</v>
      </c>
      <c r="H7" s="271">
        <v>0</v>
      </c>
      <c r="I7" s="272">
        <v>5</v>
      </c>
      <c r="J7" s="276">
        <f t="shared" si="1"/>
        <v>5</v>
      </c>
      <c r="K7" s="186" t="s">
        <v>918</v>
      </c>
      <c r="L7" s="189" t="s">
        <v>15</v>
      </c>
      <c r="M7" s="189" t="s">
        <v>15</v>
      </c>
      <c r="N7" s="190" t="s">
        <v>15</v>
      </c>
      <c r="O7" s="189" t="s">
        <v>15</v>
      </c>
      <c r="P7" s="189" t="s">
        <v>15</v>
      </c>
      <c r="Q7" s="190" t="s">
        <v>15</v>
      </c>
      <c r="R7" s="330" t="s">
        <v>18</v>
      </c>
      <c r="S7" s="330">
        <v>1</v>
      </c>
      <c r="T7" s="6"/>
      <c r="U7" s="339"/>
      <c r="V7" s="157"/>
      <c r="W7" s="6"/>
      <c r="X7" s="339"/>
      <c r="Y7" s="157"/>
      <c r="Z7" s="94"/>
      <c r="AA7" s="94"/>
      <c r="AB7" s="6"/>
      <c r="AC7" s="152"/>
      <c r="AD7" s="157"/>
      <c r="AE7" s="6"/>
      <c r="AF7" s="6"/>
      <c r="AG7" s="157"/>
      <c r="AH7" s="148"/>
      <c r="AI7" s="7"/>
      <c r="AJ7" s="153"/>
      <c r="AK7" s="148"/>
      <c r="AL7" s="7"/>
      <c r="AM7" s="7"/>
      <c r="AN7" s="148"/>
      <c r="AO7" s="7"/>
      <c r="AP7" s="7"/>
      <c r="AQ7" s="148"/>
      <c r="AR7" s="7"/>
      <c r="AS7" s="7"/>
      <c r="AT7" s="148"/>
      <c r="AU7" s="7"/>
      <c r="AV7" s="7"/>
      <c r="AW7" s="148"/>
      <c r="AX7" s="7"/>
      <c r="AY7" s="7"/>
      <c r="AZ7" s="7"/>
      <c r="BA7" s="7"/>
      <c r="BB7" s="7"/>
      <c r="BC7" s="7"/>
      <c r="BD7" s="7"/>
      <c r="BE7" s="7"/>
    </row>
    <row r="8" spans="1:64" ht="14.95" customHeight="1" thickBot="1" x14ac:dyDescent="0.3">
      <c r="A8" s="187" t="s">
        <v>504</v>
      </c>
      <c r="B8" s="185">
        <v>0</v>
      </c>
      <c r="C8" s="268">
        <v>0</v>
      </c>
      <c r="D8" s="220">
        <v>0</v>
      </c>
      <c r="E8" s="189">
        <f t="shared" ref="E8" si="4">SUM(B8:D8)</f>
        <v>0</v>
      </c>
      <c r="F8" s="274" t="s">
        <v>504</v>
      </c>
      <c r="G8" s="278">
        <v>0</v>
      </c>
      <c r="H8" s="271">
        <v>0</v>
      </c>
      <c r="I8" s="272">
        <v>0</v>
      </c>
      <c r="J8" s="276">
        <f t="shared" ref="J8" si="5">SUM(G8:I8)</f>
        <v>0</v>
      </c>
      <c r="K8" s="186" t="s">
        <v>426</v>
      </c>
      <c r="L8" s="189" t="s">
        <v>15</v>
      </c>
      <c r="M8" s="189" t="s">
        <v>15</v>
      </c>
      <c r="N8" s="190" t="s">
        <v>15</v>
      </c>
      <c r="O8" s="189" t="s">
        <v>15</v>
      </c>
      <c r="P8" s="189" t="s">
        <v>15</v>
      </c>
      <c r="Q8" s="190" t="s">
        <v>15</v>
      </c>
      <c r="R8" s="330" t="s">
        <v>18</v>
      </c>
      <c r="S8" s="330">
        <v>4</v>
      </c>
      <c r="T8" s="6" t="s">
        <v>15</v>
      </c>
      <c r="U8" s="6" t="s">
        <v>15</v>
      </c>
      <c r="V8" s="157" t="s">
        <v>15</v>
      </c>
      <c r="W8" s="6" t="s">
        <v>15</v>
      </c>
      <c r="X8" s="6" t="s">
        <v>15</v>
      </c>
      <c r="Y8" s="157" t="s">
        <v>15</v>
      </c>
      <c r="Z8" s="94"/>
      <c r="AA8" s="94"/>
      <c r="AB8" s="6" t="s">
        <v>15</v>
      </c>
      <c r="AC8" s="6" t="s">
        <v>15</v>
      </c>
      <c r="AD8" s="157" t="s">
        <v>15</v>
      </c>
      <c r="AE8" s="6" t="s">
        <v>15</v>
      </c>
      <c r="AF8" s="6" t="s">
        <v>15</v>
      </c>
      <c r="AG8" s="157" t="s">
        <v>15</v>
      </c>
      <c r="AH8" s="148" t="s">
        <v>15</v>
      </c>
      <c r="AI8" s="7" t="s">
        <v>15</v>
      </c>
      <c r="AJ8" s="7" t="s">
        <v>15</v>
      </c>
      <c r="AK8" s="148" t="s">
        <v>15</v>
      </c>
      <c r="AL8" s="7" t="s">
        <v>15</v>
      </c>
      <c r="AM8" s="7" t="s">
        <v>15</v>
      </c>
      <c r="AN8" s="148" t="s">
        <v>15</v>
      </c>
      <c r="AO8" s="7" t="s">
        <v>15</v>
      </c>
      <c r="AP8" s="7" t="s">
        <v>15</v>
      </c>
      <c r="AQ8" s="148" t="s">
        <v>15</v>
      </c>
      <c r="AR8" s="7" t="s">
        <v>15</v>
      </c>
      <c r="AS8" s="7" t="s">
        <v>15</v>
      </c>
      <c r="AT8" s="148" t="s">
        <v>15</v>
      </c>
      <c r="AU8" s="7" t="s">
        <v>15</v>
      </c>
      <c r="AV8" s="7" t="s">
        <v>15</v>
      </c>
      <c r="AW8" s="148" t="s">
        <v>15</v>
      </c>
      <c r="AX8" s="7" t="s">
        <v>15</v>
      </c>
      <c r="AY8" s="7" t="s">
        <v>15</v>
      </c>
      <c r="AZ8" s="7" t="s">
        <v>15</v>
      </c>
      <c r="BA8" s="7" t="s">
        <v>15</v>
      </c>
      <c r="BB8" s="7" t="s">
        <v>15</v>
      </c>
      <c r="BC8" s="7" t="s">
        <v>15</v>
      </c>
      <c r="BD8" s="7" t="s">
        <v>15</v>
      </c>
      <c r="BE8" s="7" t="s">
        <v>15</v>
      </c>
    </row>
    <row r="9" spans="1:64" ht="14.95" customHeight="1" thickBot="1" x14ac:dyDescent="0.3">
      <c r="A9" s="187" t="s">
        <v>395</v>
      </c>
      <c r="B9" s="185">
        <v>0</v>
      </c>
      <c r="C9" s="268">
        <v>1</v>
      </c>
      <c r="D9" s="220">
        <v>0</v>
      </c>
      <c r="E9" s="189">
        <f t="shared" ref="E9:E53" si="6">SUM(B9:D9)</f>
        <v>1</v>
      </c>
      <c r="F9" s="274" t="s">
        <v>395</v>
      </c>
      <c r="G9" s="278">
        <v>0</v>
      </c>
      <c r="H9" s="271">
        <v>5</v>
      </c>
      <c r="I9" s="272">
        <v>0</v>
      </c>
      <c r="J9" s="276">
        <f t="shared" ref="J9:J53" si="7">SUM(G9:I9)</f>
        <v>5</v>
      </c>
      <c r="K9" s="187" t="s">
        <v>22</v>
      </c>
      <c r="L9" s="189">
        <v>20</v>
      </c>
      <c r="M9" s="189">
        <v>23</v>
      </c>
      <c r="N9" s="190">
        <f t="shared" ref="N9" si="8">SUM(L9/M9)*100</f>
        <v>86.956521739130437</v>
      </c>
      <c r="O9" s="189">
        <v>5</v>
      </c>
      <c r="P9" s="189">
        <v>5</v>
      </c>
      <c r="Q9" s="190">
        <f t="shared" ref="Q9" si="9">SUM(O9/P9)*100</f>
        <v>100</v>
      </c>
      <c r="R9" s="189">
        <v>10</v>
      </c>
      <c r="S9" s="189">
        <v>12</v>
      </c>
      <c r="T9" s="7">
        <v>43</v>
      </c>
      <c r="U9" s="7">
        <v>47</v>
      </c>
      <c r="V9" s="153">
        <v>91.489361702127653</v>
      </c>
      <c r="W9" s="7">
        <v>34</v>
      </c>
      <c r="X9" s="7">
        <v>52</v>
      </c>
      <c r="Y9" s="153">
        <v>65.384615384615387</v>
      </c>
      <c r="Z9" s="93"/>
      <c r="AA9" s="94"/>
      <c r="AB9" s="148">
        <v>38</v>
      </c>
      <c r="AC9" s="7">
        <v>45</v>
      </c>
      <c r="AD9" s="153">
        <v>84.444444444444443</v>
      </c>
      <c r="AE9" s="7">
        <v>40</v>
      </c>
      <c r="AF9" s="7">
        <v>55</v>
      </c>
      <c r="AG9" s="153">
        <f t="shared" ref="AG9" si="10">SUM(AE9/AF9)*100</f>
        <v>72.727272727272734</v>
      </c>
      <c r="AH9" s="148">
        <v>104</v>
      </c>
      <c r="AI9" s="7">
        <v>127</v>
      </c>
      <c r="AJ9" s="153">
        <f t="shared" ref="AJ9" si="11">SUM(AH9/AI9)*100</f>
        <v>81.889763779527556</v>
      </c>
      <c r="AK9" s="148">
        <v>65</v>
      </c>
      <c r="AL9" s="7">
        <v>81</v>
      </c>
      <c r="AM9" s="153">
        <f t="shared" ref="AM9" si="12">SUM(AK9/AL9)*100</f>
        <v>80.246913580246911</v>
      </c>
      <c r="AN9" s="148">
        <v>62</v>
      </c>
      <c r="AO9" s="7">
        <v>78</v>
      </c>
      <c r="AP9" s="153">
        <f t="shared" ref="AP9" si="13">SUM(AN9/AO9)*100</f>
        <v>79.487179487179489</v>
      </c>
      <c r="AQ9" s="148">
        <v>63</v>
      </c>
      <c r="AR9" s="7">
        <v>84</v>
      </c>
      <c r="AS9" s="153">
        <f t="shared" ref="AS9" si="14">SUM(AQ9/AR9)*100</f>
        <v>75</v>
      </c>
      <c r="AT9" s="148" t="s">
        <v>15</v>
      </c>
      <c r="AU9" s="7" t="s">
        <v>15</v>
      </c>
      <c r="AV9" s="7" t="s">
        <v>15</v>
      </c>
      <c r="AW9" s="148" t="s">
        <v>15</v>
      </c>
      <c r="AX9" s="7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</row>
    <row r="10" spans="1:64" ht="14.95" customHeight="1" thickBot="1" x14ac:dyDescent="0.3">
      <c r="A10" s="187" t="s">
        <v>546</v>
      </c>
      <c r="B10" s="185">
        <v>0</v>
      </c>
      <c r="C10" s="268">
        <v>0</v>
      </c>
      <c r="D10" s="220">
        <v>0</v>
      </c>
      <c r="E10" s="189">
        <f t="shared" si="6"/>
        <v>0</v>
      </c>
      <c r="F10" s="274" t="s">
        <v>546</v>
      </c>
      <c r="G10" s="278">
        <v>0</v>
      </c>
      <c r="H10" s="271">
        <v>0</v>
      </c>
      <c r="I10" s="272">
        <v>0</v>
      </c>
      <c r="J10" s="276">
        <f t="shared" si="7"/>
        <v>0</v>
      </c>
      <c r="K10" s="297"/>
      <c r="AB10" s="85"/>
      <c r="AE10" s="85"/>
      <c r="AF10" s="85"/>
      <c r="AG10" s="85"/>
      <c r="AH10" s="85"/>
      <c r="AN10" s="85"/>
      <c r="AT10" s="145"/>
      <c r="BC10" s="45"/>
      <c r="BI10" s="85"/>
    </row>
    <row r="11" spans="1:64" ht="14.95" customHeight="1" thickBot="1" x14ac:dyDescent="0.3">
      <c r="A11" s="187" t="s">
        <v>401</v>
      </c>
      <c r="B11" s="185">
        <v>2</v>
      </c>
      <c r="C11" s="268">
        <v>1</v>
      </c>
      <c r="D11" s="220">
        <v>1</v>
      </c>
      <c r="E11" s="189">
        <f t="shared" si="6"/>
        <v>4</v>
      </c>
      <c r="F11" s="274" t="s">
        <v>401</v>
      </c>
      <c r="G11" s="278">
        <v>10</v>
      </c>
      <c r="H11" s="271">
        <v>5</v>
      </c>
      <c r="I11" s="272">
        <v>5</v>
      </c>
      <c r="J11" s="276">
        <f t="shared" si="7"/>
        <v>20</v>
      </c>
      <c r="K11" s="534" t="s">
        <v>195</v>
      </c>
      <c r="L11" s="536" t="s">
        <v>14</v>
      </c>
      <c r="M11" s="537"/>
      <c r="N11" s="538"/>
      <c r="O11" s="457" t="s">
        <v>234</v>
      </c>
      <c r="P11" s="458"/>
      <c r="Q11" s="459"/>
      <c r="R11" s="457" t="s">
        <v>903</v>
      </c>
      <c r="S11" s="458"/>
      <c r="T11" s="459"/>
      <c r="U11" s="457" t="s">
        <v>601</v>
      </c>
      <c r="V11" s="458"/>
      <c r="W11" s="459"/>
      <c r="X11" s="160" t="s">
        <v>21</v>
      </c>
      <c r="AB11" s="457" t="s">
        <v>494</v>
      </c>
      <c r="AC11" s="458"/>
      <c r="AD11" s="459"/>
      <c r="AE11" s="457" t="s">
        <v>407</v>
      </c>
      <c r="AF11" s="458"/>
      <c r="AG11" s="459"/>
      <c r="AH11" s="457" t="s">
        <v>313</v>
      </c>
      <c r="AI11" s="458"/>
      <c r="AJ11" s="459"/>
      <c r="AK11" s="457" t="s">
        <v>227</v>
      </c>
      <c r="AL11" s="458"/>
      <c r="AM11" s="459"/>
      <c r="AN11" s="457" t="s">
        <v>172</v>
      </c>
      <c r="AO11" s="458"/>
      <c r="AP11" s="459"/>
      <c r="AQ11" s="457" t="s">
        <v>79</v>
      </c>
      <c r="AR11" s="458"/>
      <c r="AS11" s="459"/>
      <c r="AT11" s="457" t="s">
        <v>54</v>
      </c>
      <c r="AU11" s="458"/>
      <c r="AV11" s="459"/>
      <c r="AW11" s="457" t="s">
        <v>59</v>
      </c>
      <c r="AX11" s="458"/>
      <c r="AY11" s="459"/>
      <c r="AZ11" s="457" t="s">
        <v>41</v>
      </c>
      <c r="BA11" s="458"/>
      <c r="BB11" s="459"/>
      <c r="BC11" s="145"/>
    </row>
    <row r="12" spans="1:64" ht="14.95" customHeight="1" thickBot="1" x14ac:dyDescent="0.3">
      <c r="A12" s="187" t="s">
        <v>597</v>
      </c>
      <c r="B12" s="185">
        <v>0</v>
      </c>
      <c r="C12" s="268">
        <v>1</v>
      </c>
      <c r="D12" s="220">
        <v>0</v>
      </c>
      <c r="E12" s="189">
        <f t="shared" si="6"/>
        <v>1</v>
      </c>
      <c r="F12" s="274" t="s">
        <v>597</v>
      </c>
      <c r="G12" s="278">
        <v>0</v>
      </c>
      <c r="H12" s="271">
        <v>5</v>
      </c>
      <c r="I12" s="272">
        <v>0</v>
      </c>
      <c r="J12" s="276">
        <f t="shared" si="7"/>
        <v>5</v>
      </c>
      <c r="K12" s="535"/>
      <c r="L12" s="539"/>
      <c r="M12" s="540"/>
      <c r="N12" s="541"/>
      <c r="O12" s="460"/>
      <c r="P12" s="461"/>
      <c r="Q12" s="462"/>
      <c r="R12" s="460"/>
      <c r="S12" s="461"/>
      <c r="T12" s="462"/>
      <c r="U12" s="460"/>
      <c r="V12" s="461"/>
      <c r="W12" s="462"/>
      <c r="AB12" s="460"/>
      <c r="AC12" s="461"/>
      <c r="AD12" s="462"/>
      <c r="AE12" s="460"/>
      <c r="AF12" s="461"/>
      <c r="AG12" s="462"/>
      <c r="AH12" s="460"/>
      <c r="AI12" s="461"/>
      <c r="AJ12" s="462"/>
      <c r="AK12" s="460"/>
      <c r="AL12" s="461"/>
      <c r="AM12" s="462"/>
      <c r="AN12" s="460"/>
      <c r="AO12" s="461"/>
      <c r="AP12" s="462"/>
      <c r="AQ12" s="460"/>
      <c r="AR12" s="461"/>
      <c r="AS12" s="462"/>
      <c r="AT12" s="460"/>
      <c r="AU12" s="461"/>
      <c r="AV12" s="462"/>
      <c r="AW12" s="460"/>
      <c r="AX12" s="461"/>
      <c r="AY12" s="462"/>
      <c r="AZ12" s="460"/>
      <c r="BA12" s="461"/>
      <c r="BB12" s="462"/>
    </row>
    <row r="13" spans="1:64" ht="14.95" customHeight="1" thickBot="1" x14ac:dyDescent="0.3">
      <c r="A13" s="187" t="s">
        <v>169</v>
      </c>
      <c r="B13" s="185">
        <v>0</v>
      </c>
      <c r="C13" s="268">
        <v>3</v>
      </c>
      <c r="D13" s="220">
        <v>0</v>
      </c>
      <c r="E13" s="189">
        <f t="shared" si="6"/>
        <v>3</v>
      </c>
      <c r="F13" s="274" t="s">
        <v>169</v>
      </c>
      <c r="G13" s="278">
        <v>0</v>
      </c>
      <c r="H13" s="271">
        <v>15</v>
      </c>
      <c r="I13" s="272">
        <v>0</v>
      </c>
      <c r="J13" s="276">
        <f t="shared" si="7"/>
        <v>15</v>
      </c>
      <c r="K13" s="252" t="s">
        <v>21</v>
      </c>
      <c r="L13" s="1" t="s">
        <v>46</v>
      </c>
      <c r="M13" s="1" t="s">
        <v>9</v>
      </c>
      <c r="N13" s="1" t="s">
        <v>10</v>
      </c>
      <c r="O13" s="7" t="s">
        <v>46</v>
      </c>
      <c r="P13" s="7" t="s">
        <v>9</v>
      </c>
      <c r="Q13" s="7" t="s">
        <v>10</v>
      </c>
      <c r="R13" s="7" t="s">
        <v>46</v>
      </c>
      <c r="S13" s="7" t="s">
        <v>9</v>
      </c>
      <c r="T13" s="7" t="s">
        <v>10</v>
      </c>
      <c r="U13" s="7" t="s">
        <v>46</v>
      </c>
      <c r="V13" s="7" t="s">
        <v>9</v>
      </c>
      <c r="W13" s="7" t="s">
        <v>10</v>
      </c>
      <c r="AB13" s="148" t="s">
        <v>46</v>
      </c>
      <c r="AC13" s="7" t="s">
        <v>9</v>
      </c>
      <c r="AD13" s="7" t="s">
        <v>10</v>
      </c>
      <c r="AE13" s="148" t="s">
        <v>46</v>
      </c>
      <c r="AF13" s="7" t="s">
        <v>9</v>
      </c>
      <c r="AG13" s="7" t="s">
        <v>10</v>
      </c>
      <c r="AH13" s="148" t="s">
        <v>46</v>
      </c>
      <c r="AI13" s="7" t="s">
        <v>9</v>
      </c>
      <c r="AJ13" s="7" t="s">
        <v>10</v>
      </c>
      <c r="AK13" s="148" t="s">
        <v>46</v>
      </c>
      <c r="AL13" s="7" t="s">
        <v>9</v>
      </c>
      <c r="AM13" s="7" t="s">
        <v>10</v>
      </c>
      <c r="AN13" s="148" t="s">
        <v>46</v>
      </c>
      <c r="AO13" s="7" t="s">
        <v>9</v>
      </c>
      <c r="AP13" s="7" t="s">
        <v>10</v>
      </c>
      <c r="AQ13" s="148" t="s">
        <v>46</v>
      </c>
      <c r="AR13" s="7" t="s">
        <v>9</v>
      </c>
      <c r="AS13" s="7" t="s">
        <v>10</v>
      </c>
      <c r="AT13" s="148" t="s">
        <v>46</v>
      </c>
      <c r="AU13" s="7" t="s">
        <v>9</v>
      </c>
      <c r="AV13" s="7" t="s">
        <v>10</v>
      </c>
      <c r="AW13" s="148" t="s">
        <v>46</v>
      </c>
      <c r="AX13" s="7" t="s">
        <v>9</v>
      </c>
      <c r="AY13" s="7" t="s">
        <v>10</v>
      </c>
      <c r="AZ13" s="148" t="s">
        <v>46</v>
      </c>
      <c r="BA13" s="7" t="s">
        <v>9</v>
      </c>
      <c r="BB13" s="7" t="s">
        <v>10</v>
      </c>
      <c r="BC13" s="145"/>
    </row>
    <row r="14" spans="1:64" ht="14.95" customHeight="1" thickBot="1" x14ac:dyDescent="0.3">
      <c r="A14" s="187" t="s">
        <v>980</v>
      </c>
      <c r="B14" s="185">
        <v>0</v>
      </c>
      <c r="C14" s="268">
        <v>1</v>
      </c>
      <c r="D14" s="220">
        <v>0</v>
      </c>
      <c r="E14" s="189">
        <f t="shared" si="6"/>
        <v>1</v>
      </c>
      <c r="F14" s="274" t="s">
        <v>980</v>
      </c>
      <c r="G14" s="278">
        <v>0</v>
      </c>
      <c r="H14" s="271">
        <v>5</v>
      </c>
      <c r="I14" s="272">
        <v>0</v>
      </c>
      <c r="J14" s="276">
        <f t="shared" si="7"/>
        <v>5</v>
      </c>
      <c r="K14" s="187" t="s">
        <v>359</v>
      </c>
      <c r="L14" s="189">
        <v>1</v>
      </c>
      <c r="M14" s="189">
        <v>1</v>
      </c>
      <c r="N14" s="190">
        <f t="shared" ref="N14:N16" si="15">SUM(L14/M14)*100</f>
        <v>100</v>
      </c>
      <c r="O14" s="6" t="s">
        <v>15</v>
      </c>
      <c r="P14" s="7" t="s">
        <v>15</v>
      </c>
      <c r="Q14" s="153" t="s">
        <v>15</v>
      </c>
      <c r="R14" s="6" t="s">
        <v>15</v>
      </c>
      <c r="S14" s="7" t="s">
        <v>15</v>
      </c>
      <c r="T14" s="153" t="s">
        <v>15</v>
      </c>
      <c r="U14" s="6" t="s">
        <v>15</v>
      </c>
      <c r="V14" s="7" t="s">
        <v>15</v>
      </c>
      <c r="W14" s="153" t="s">
        <v>15</v>
      </c>
      <c r="AB14" s="6" t="s">
        <v>15</v>
      </c>
      <c r="AC14" s="7" t="s">
        <v>15</v>
      </c>
      <c r="AD14" s="153" t="s">
        <v>15</v>
      </c>
      <c r="AE14" s="148" t="s">
        <v>15</v>
      </c>
      <c r="AF14" s="7" t="s">
        <v>15</v>
      </c>
      <c r="AG14" s="153" t="s">
        <v>15</v>
      </c>
      <c r="AH14" s="6" t="s">
        <v>15</v>
      </c>
      <c r="AI14" s="7" t="s">
        <v>15</v>
      </c>
      <c r="AJ14" s="153" t="s">
        <v>15</v>
      </c>
      <c r="AK14" s="7" t="s">
        <v>15</v>
      </c>
      <c r="AL14" s="7" t="s">
        <v>15</v>
      </c>
      <c r="AM14" s="153" t="s">
        <v>15</v>
      </c>
      <c r="AN14" s="7" t="s">
        <v>15</v>
      </c>
      <c r="AO14" s="7" t="s">
        <v>15</v>
      </c>
      <c r="AP14" s="153" t="s">
        <v>15</v>
      </c>
      <c r="AQ14" s="7" t="s">
        <v>15</v>
      </c>
      <c r="AR14" s="7" t="s">
        <v>15</v>
      </c>
      <c r="AS14" s="153" t="s">
        <v>15</v>
      </c>
      <c r="AT14" s="7" t="s">
        <v>15</v>
      </c>
      <c r="AU14" s="7" t="s">
        <v>15</v>
      </c>
      <c r="AV14" s="153" t="s">
        <v>15</v>
      </c>
      <c r="AW14" s="7" t="s">
        <v>15</v>
      </c>
      <c r="AX14" s="7" t="s">
        <v>15</v>
      </c>
      <c r="AY14" s="153" t="s">
        <v>15</v>
      </c>
      <c r="AZ14" s="7" t="s">
        <v>15</v>
      </c>
      <c r="BA14" s="7" t="s">
        <v>15</v>
      </c>
      <c r="BB14" s="153" t="s">
        <v>15</v>
      </c>
      <c r="BC14" s="145"/>
    </row>
    <row r="15" spans="1:64" ht="14.95" customHeight="1" thickBot="1" x14ac:dyDescent="0.3">
      <c r="A15" s="187" t="s">
        <v>98</v>
      </c>
      <c r="B15" s="185">
        <v>3</v>
      </c>
      <c r="C15" s="268">
        <v>1</v>
      </c>
      <c r="D15" s="220">
        <v>0</v>
      </c>
      <c r="E15" s="189">
        <f t="shared" si="6"/>
        <v>4</v>
      </c>
      <c r="F15" s="274" t="s">
        <v>98</v>
      </c>
      <c r="G15" s="278">
        <v>15</v>
      </c>
      <c r="H15" s="271">
        <v>5</v>
      </c>
      <c r="I15" s="272">
        <v>0</v>
      </c>
      <c r="J15" s="276">
        <f t="shared" si="7"/>
        <v>20</v>
      </c>
      <c r="K15" s="187" t="s">
        <v>584</v>
      </c>
      <c r="L15" s="189">
        <v>2</v>
      </c>
      <c r="M15" s="189">
        <v>2</v>
      </c>
      <c r="N15" s="190">
        <f t="shared" si="15"/>
        <v>100</v>
      </c>
      <c r="O15" s="6">
        <v>2</v>
      </c>
      <c r="P15" s="7">
        <v>2</v>
      </c>
      <c r="Q15" s="153">
        <v>100</v>
      </c>
      <c r="R15" s="6">
        <v>0</v>
      </c>
      <c r="S15" s="7">
        <v>1</v>
      </c>
      <c r="T15" s="153">
        <v>0</v>
      </c>
      <c r="U15" s="6" t="s">
        <v>15</v>
      </c>
      <c r="V15" s="7" t="s">
        <v>15</v>
      </c>
      <c r="W15" s="153" t="s">
        <v>15</v>
      </c>
      <c r="AB15" s="148">
        <v>4</v>
      </c>
      <c r="AC15" s="7">
        <v>6</v>
      </c>
      <c r="AD15" s="153">
        <v>66.666666666666657</v>
      </c>
      <c r="AE15" s="148" t="s">
        <v>15</v>
      </c>
      <c r="AF15" s="7" t="s">
        <v>15</v>
      </c>
      <c r="AG15" s="153" t="s">
        <v>15</v>
      </c>
      <c r="AH15" s="6" t="s">
        <v>15</v>
      </c>
      <c r="AI15" s="7" t="s">
        <v>15</v>
      </c>
      <c r="AJ15" s="153" t="s">
        <v>15</v>
      </c>
      <c r="AK15" s="148">
        <v>2</v>
      </c>
      <c r="AL15" s="7">
        <v>3</v>
      </c>
      <c r="AM15" s="153">
        <v>66.666666666666657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145"/>
    </row>
    <row r="16" spans="1:64" ht="14.95" customHeight="1" thickBot="1" x14ac:dyDescent="0.3">
      <c r="A16" s="187" t="s">
        <v>673</v>
      </c>
      <c r="B16" s="185">
        <v>0</v>
      </c>
      <c r="C16" s="268">
        <v>0</v>
      </c>
      <c r="D16" s="220">
        <v>2</v>
      </c>
      <c r="E16" s="189">
        <f t="shared" si="6"/>
        <v>2</v>
      </c>
      <c r="F16" s="274" t="s">
        <v>673</v>
      </c>
      <c r="G16" s="278">
        <v>0</v>
      </c>
      <c r="H16" s="271">
        <v>0</v>
      </c>
      <c r="I16" s="272">
        <v>10</v>
      </c>
      <c r="J16" s="276">
        <f t="shared" si="7"/>
        <v>10</v>
      </c>
      <c r="K16" s="187" t="s">
        <v>22</v>
      </c>
      <c r="L16" s="189">
        <v>22</v>
      </c>
      <c r="M16" s="189">
        <v>24</v>
      </c>
      <c r="N16" s="190">
        <f t="shared" si="15"/>
        <v>91.666666666666657</v>
      </c>
      <c r="O16" s="7">
        <v>12</v>
      </c>
      <c r="P16" s="7">
        <v>16</v>
      </c>
      <c r="Q16" s="153">
        <v>75</v>
      </c>
      <c r="R16" s="7">
        <v>31</v>
      </c>
      <c r="S16" s="7">
        <v>35</v>
      </c>
      <c r="T16" s="153">
        <v>88.571428571428569</v>
      </c>
      <c r="U16" s="7">
        <v>13</v>
      </c>
      <c r="V16" s="7">
        <v>16</v>
      </c>
      <c r="W16" s="153">
        <v>81.25</v>
      </c>
      <c r="AB16" s="148">
        <v>23</v>
      </c>
      <c r="AC16" s="7">
        <v>28</v>
      </c>
      <c r="AD16" s="153">
        <f t="shared" ref="AD16" si="16">SUM(AB16/AC16)*100</f>
        <v>82.142857142857139</v>
      </c>
      <c r="AE16" s="148">
        <v>2</v>
      </c>
      <c r="AF16" s="7">
        <v>5</v>
      </c>
      <c r="AG16" s="153">
        <f t="shared" ref="AG16" si="17">SUM(AE16/AF16)*100</f>
        <v>40</v>
      </c>
      <c r="AH16" s="148">
        <v>11</v>
      </c>
      <c r="AI16" s="7">
        <v>12</v>
      </c>
      <c r="AJ16" s="153">
        <f t="shared" ref="AJ16" si="18">SUM(AH16/AI16)*100</f>
        <v>91.666666666666657</v>
      </c>
      <c r="AK16" s="148" t="s">
        <v>15</v>
      </c>
      <c r="AL16" s="7" t="s">
        <v>15</v>
      </c>
      <c r="AM16" s="7" t="s">
        <v>15</v>
      </c>
      <c r="AN16" s="148">
        <v>13</v>
      </c>
      <c r="AO16" s="7">
        <v>16</v>
      </c>
      <c r="AP16" s="153">
        <f t="shared" ref="AP16" si="19">SUM(AN16/AO16)*100</f>
        <v>81.25</v>
      </c>
      <c r="AQ16" s="148" t="s">
        <v>15</v>
      </c>
      <c r="AR16" s="7" t="s">
        <v>15</v>
      </c>
      <c r="AS16" s="7" t="s">
        <v>15</v>
      </c>
      <c r="AT16" s="148" t="s">
        <v>15</v>
      </c>
      <c r="AU16" s="7" t="s">
        <v>15</v>
      </c>
      <c r="AV16" s="7" t="s">
        <v>15</v>
      </c>
      <c r="AW16" s="148" t="s">
        <v>15</v>
      </c>
      <c r="AX16" s="7" t="s">
        <v>15</v>
      </c>
      <c r="AY16" s="7" t="s">
        <v>15</v>
      </c>
      <c r="AZ16" s="148" t="s">
        <v>15</v>
      </c>
      <c r="BA16" s="7" t="s">
        <v>15</v>
      </c>
      <c r="BB16" s="7" t="s">
        <v>15</v>
      </c>
    </row>
    <row r="17" spans="1:54" ht="14.95" customHeight="1" thickBot="1" x14ac:dyDescent="0.3">
      <c r="A17" s="187" t="s">
        <v>241</v>
      </c>
      <c r="B17" s="185">
        <v>0</v>
      </c>
      <c r="C17" s="268">
        <v>0</v>
      </c>
      <c r="D17" s="220">
        <v>1</v>
      </c>
      <c r="E17" s="189">
        <f t="shared" si="6"/>
        <v>1</v>
      </c>
      <c r="F17" s="274" t="s">
        <v>241</v>
      </c>
      <c r="G17" s="278">
        <v>0</v>
      </c>
      <c r="H17" s="271">
        <v>0</v>
      </c>
      <c r="I17" s="272">
        <v>5</v>
      </c>
      <c r="J17" s="276">
        <f t="shared" si="7"/>
        <v>5</v>
      </c>
      <c r="AQ17" s="145"/>
    </row>
    <row r="18" spans="1:54" ht="14.95" customHeight="1" thickBot="1" x14ac:dyDescent="0.3">
      <c r="A18" s="187" t="s">
        <v>525</v>
      </c>
      <c r="B18" s="185">
        <v>0</v>
      </c>
      <c r="C18" s="268">
        <v>1</v>
      </c>
      <c r="D18" s="220">
        <v>0</v>
      </c>
      <c r="E18" s="189">
        <f t="shared" si="6"/>
        <v>1</v>
      </c>
      <c r="F18" s="274" t="s">
        <v>525</v>
      </c>
      <c r="G18" s="278">
        <v>17</v>
      </c>
      <c r="H18" s="271">
        <v>9</v>
      </c>
      <c r="I18" s="272">
        <v>2</v>
      </c>
      <c r="J18" s="276">
        <f t="shared" si="7"/>
        <v>28</v>
      </c>
      <c r="K18" s="532" t="s">
        <v>196</v>
      </c>
      <c r="L18" s="457" t="s">
        <v>14</v>
      </c>
      <c r="M18" s="458"/>
      <c r="N18" s="459"/>
      <c r="O18" s="457" t="s">
        <v>234</v>
      </c>
      <c r="P18" s="458"/>
      <c r="Q18" s="459"/>
      <c r="R18" s="457" t="s">
        <v>903</v>
      </c>
      <c r="S18" s="458"/>
      <c r="T18" s="459"/>
      <c r="U18" s="457" t="s">
        <v>601</v>
      </c>
      <c r="V18" s="458"/>
      <c r="W18" s="459"/>
      <c r="AB18" s="457" t="s">
        <v>494</v>
      </c>
      <c r="AC18" s="458"/>
      <c r="AD18" s="459"/>
      <c r="AE18" s="457" t="s">
        <v>407</v>
      </c>
      <c r="AF18" s="458"/>
      <c r="AG18" s="459"/>
      <c r="AH18" s="457" t="s">
        <v>313</v>
      </c>
      <c r="AI18" s="458"/>
      <c r="AJ18" s="459"/>
      <c r="AK18" s="457" t="s">
        <v>228</v>
      </c>
      <c r="AL18" s="458"/>
      <c r="AM18" s="459"/>
      <c r="AN18" s="457" t="s">
        <v>172</v>
      </c>
      <c r="AO18" s="458"/>
      <c r="AP18" s="459"/>
      <c r="AQ18" s="457" t="s">
        <v>79</v>
      </c>
      <c r="AR18" s="458"/>
      <c r="AS18" s="459"/>
      <c r="AT18" s="457" t="s">
        <v>54</v>
      </c>
      <c r="AU18" s="458"/>
      <c r="AV18" s="459"/>
      <c r="AW18" s="457" t="s">
        <v>59</v>
      </c>
      <c r="AX18" s="458"/>
      <c r="AY18" s="459"/>
      <c r="AZ18" s="457" t="s">
        <v>41</v>
      </c>
      <c r="BA18" s="458"/>
      <c r="BB18" s="459"/>
    </row>
    <row r="19" spans="1:54" ht="14.95" customHeight="1" thickBot="1" x14ac:dyDescent="0.3">
      <c r="A19" s="187" t="s">
        <v>277</v>
      </c>
      <c r="B19" s="185">
        <v>4</v>
      </c>
      <c r="C19" s="268">
        <v>0</v>
      </c>
      <c r="D19" s="220">
        <v>0</v>
      </c>
      <c r="E19" s="189">
        <f t="shared" si="6"/>
        <v>4</v>
      </c>
      <c r="F19" s="274" t="s">
        <v>277</v>
      </c>
      <c r="G19" s="278">
        <v>20</v>
      </c>
      <c r="H19" s="271">
        <v>0</v>
      </c>
      <c r="I19" s="272">
        <v>0</v>
      </c>
      <c r="J19" s="276">
        <f t="shared" si="7"/>
        <v>20</v>
      </c>
      <c r="K19" s="533"/>
      <c r="L19" s="460"/>
      <c r="M19" s="461"/>
      <c r="N19" s="462"/>
      <c r="O19" s="460"/>
      <c r="P19" s="461"/>
      <c r="Q19" s="462"/>
      <c r="R19" s="460"/>
      <c r="S19" s="461"/>
      <c r="T19" s="462"/>
      <c r="U19" s="460"/>
      <c r="V19" s="461"/>
      <c r="W19" s="462"/>
      <c r="AB19" s="460"/>
      <c r="AC19" s="461"/>
      <c r="AD19" s="462"/>
      <c r="AE19" s="460"/>
      <c r="AF19" s="461"/>
      <c r="AG19" s="462"/>
      <c r="AH19" s="460"/>
      <c r="AI19" s="461"/>
      <c r="AJ19" s="462"/>
      <c r="AK19" s="460"/>
      <c r="AL19" s="461"/>
      <c r="AM19" s="462"/>
      <c r="AN19" s="460"/>
      <c r="AO19" s="461"/>
      <c r="AP19" s="462"/>
      <c r="AQ19" s="460"/>
      <c r="AR19" s="461"/>
      <c r="AS19" s="462"/>
      <c r="AT19" s="460"/>
      <c r="AU19" s="461"/>
      <c r="AV19" s="462"/>
      <c r="AW19" s="460"/>
      <c r="AX19" s="461"/>
      <c r="AY19" s="462"/>
      <c r="AZ19" s="460"/>
      <c r="BA19" s="461"/>
      <c r="BB19" s="462"/>
    </row>
    <row r="20" spans="1:54" ht="14.95" customHeight="1" thickBot="1" x14ac:dyDescent="0.3">
      <c r="A20" s="187" t="s">
        <v>414</v>
      </c>
      <c r="B20" s="185">
        <v>0</v>
      </c>
      <c r="C20" s="268">
        <v>0</v>
      </c>
      <c r="D20" s="220">
        <v>0</v>
      </c>
      <c r="E20" s="189">
        <f t="shared" si="6"/>
        <v>0</v>
      </c>
      <c r="F20" s="274" t="s">
        <v>414</v>
      </c>
      <c r="G20" s="278">
        <v>0</v>
      </c>
      <c r="H20" s="271">
        <v>0</v>
      </c>
      <c r="I20" s="272">
        <v>0</v>
      </c>
      <c r="J20" s="276">
        <f t="shared" si="7"/>
        <v>0</v>
      </c>
      <c r="K20" s="246" t="s">
        <v>21</v>
      </c>
      <c r="L20" s="7" t="s">
        <v>46</v>
      </c>
      <c r="M20" s="7" t="s">
        <v>9</v>
      </c>
      <c r="N20" s="7" t="s">
        <v>10</v>
      </c>
      <c r="O20" s="7" t="s">
        <v>46</v>
      </c>
      <c r="P20" s="7" t="s">
        <v>9</v>
      </c>
      <c r="Q20" s="7" t="s">
        <v>10</v>
      </c>
      <c r="R20" s="7" t="s">
        <v>46</v>
      </c>
      <c r="S20" s="7" t="s">
        <v>9</v>
      </c>
      <c r="T20" s="7" t="s">
        <v>10</v>
      </c>
      <c r="U20" s="7" t="s">
        <v>46</v>
      </c>
      <c r="V20" s="7" t="s">
        <v>9</v>
      </c>
      <c r="W20" s="7" t="s">
        <v>10</v>
      </c>
      <c r="AB20" s="148" t="s">
        <v>46</v>
      </c>
      <c r="AC20" s="7" t="s">
        <v>9</v>
      </c>
      <c r="AD20" s="7" t="s">
        <v>10</v>
      </c>
      <c r="AE20" s="148" t="s">
        <v>46</v>
      </c>
      <c r="AF20" s="7" t="s">
        <v>9</v>
      </c>
      <c r="AG20" s="7" t="s">
        <v>10</v>
      </c>
      <c r="AH20" s="148" t="s">
        <v>46</v>
      </c>
      <c r="AI20" s="7" t="s">
        <v>9</v>
      </c>
      <c r="AJ20" s="7" t="s">
        <v>10</v>
      </c>
      <c r="AK20" s="148" t="s">
        <v>46</v>
      </c>
      <c r="AL20" s="7" t="s">
        <v>9</v>
      </c>
      <c r="AM20" s="7" t="s">
        <v>10</v>
      </c>
      <c r="AN20" s="148" t="s">
        <v>46</v>
      </c>
      <c r="AO20" s="7" t="s">
        <v>9</v>
      </c>
      <c r="AP20" s="7" t="s">
        <v>10</v>
      </c>
      <c r="AQ20" s="148" t="s">
        <v>46</v>
      </c>
      <c r="AR20" s="7" t="s">
        <v>9</v>
      </c>
      <c r="AS20" s="7" t="s">
        <v>10</v>
      </c>
      <c r="AT20" s="148" t="s">
        <v>46</v>
      </c>
      <c r="AU20" s="7" t="s">
        <v>9</v>
      </c>
      <c r="AV20" s="7" t="s">
        <v>10</v>
      </c>
      <c r="AW20" s="148" t="s">
        <v>46</v>
      </c>
      <c r="AX20" s="7" t="s">
        <v>9</v>
      </c>
      <c r="AY20" s="7" t="s">
        <v>10</v>
      </c>
      <c r="AZ20" s="148" t="s">
        <v>46</v>
      </c>
      <c r="BA20" s="7" t="s">
        <v>9</v>
      </c>
      <c r="BB20" s="7" t="s">
        <v>10</v>
      </c>
    </row>
    <row r="21" spans="1:54" ht="14.95" customHeight="1" thickBot="1" x14ac:dyDescent="0.3">
      <c r="A21" s="187" t="s">
        <v>978</v>
      </c>
      <c r="B21" s="185">
        <v>0</v>
      </c>
      <c r="C21" s="268">
        <v>0</v>
      </c>
      <c r="D21" s="220">
        <v>0</v>
      </c>
      <c r="E21" s="189">
        <f t="shared" si="6"/>
        <v>0</v>
      </c>
      <c r="F21" s="274" t="s">
        <v>978</v>
      </c>
      <c r="G21" s="278">
        <v>0</v>
      </c>
      <c r="H21" s="271">
        <v>0</v>
      </c>
      <c r="I21" s="272">
        <v>0</v>
      </c>
      <c r="J21" s="276">
        <f t="shared" si="7"/>
        <v>0</v>
      </c>
      <c r="K21" s="187" t="s">
        <v>584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>
        <v>7</v>
      </c>
      <c r="V21" s="7">
        <v>12</v>
      </c>
      <c r="W21" s="7">
        <v>58</v>
      </c>
      <c r="AB21" s="148" t="s">
        <v>15</v>
      </c>
      <c r="AC21" s="7" t="s">
        <v>15</v>
      </c>
      <c r="AD21" s="153" t="s">
        <v>15</v>
      </c>
      <c r="AE21" s="148">
        <v>11</v>
      </c>
      <c r="AF21" s="7">
        <v>13</v>
      </c>
      <c r="AG21" s="153">
        <f t="shared" ref="AG21" si="20">(AE21/AF21)*100</f>
        <v>84.615384615384613</v>
      </c>
      <c r="AH21" s="6">
        <v>15</v>
      </c>
      <c r="AI21" s="7">
        <v>17</v>
      </c>
      <c r="AJ21" s="153">
        <f t="shared" ref="AJ21" si="21">(AH21/AI21)*100</f>
        <v>88.235294117647058</v>
      </c>
      <c r="AK21" s="6" t="s">
        <v>15</v>
      </c>
      <c r="AL21" s="7" t="s">
        <v>15</v>
      </c>
      <c r="AM21" s="153" t="s">
        <v>15</v>
      </c>
      <c r="AN21" s="148">
        <v>23</v>
      </c>
      <c r="AO21" s="7">
        <v>27</v>
      </c>
      <c r="AP21" s="153">
        <f t="shared" ref="AP21" si="22">SUM(AN21/AO21)*100</f>
        <v>85.18518518518519</v>
      </c>
      <c r="AQ21" s="148" t="s">
        <v>15</v>
      </c>
      <c r="AR21" s="7" t="s">
        <v>15</v>
      </c>
      <c r="AS21" s="6" t="s">
        <v>15</v>
      </c>
      <c r="AT21" s="6">
        <v>6</v>
      </c>
      <c r="AU21" s="7">
        <v>6</v>
      </c>
      <c r="AV21" s="153">
        <f t="shared" ref="AV21" si="23">SUM(AT21/AU21)*100</f>
        <v>100</v>
      </c>
      <c r="AW21" s="6" t="s">
        <v>15</v>
      </c>
      <c r="AX21" s="7" t="s">
        <v>15</v>
      </c>
      <c r="AY21" s="153" t="s">
        <v>15</v>
      </c>
      <c r="AZ21" s="6" t="s">
        <v>15</v>
      </c>
      <c r="BA21" s="7" t="s">
        <v>15</v>
      </c>
      <c r="BB21" s="153" t="s">
        <v>15</v>
      </c>
    </row>
    <row r="22" spans="1:54" ht="14.95" customHeight="1" thickBot="1" x14ac:dyDescent="0.3">
      <c r="A22" s="187" t="s">
        <v>287</v>
      </c>
      <c r="B22" s="185">
        <v>4</v>
      </c>
      <c r="C22" s="268">
        <v>1</v>
      </c>
      <c r="D22" s="220">
        <v>0</v>
      </c>
      <c r="E22" s="189">
        <f t="shared" si="6"/>
        <v>5</v>
      </c>
      <c r="F22" s="274" t="s">
        <v>287</v>
      </c>
      <c r="G22" s="278">
        <v>20</v>
      </c>
      <c r="H22" s="271">
        <v>5</v>
      </c>
      <c r="I22" s="272">
        <v>0</v>
      </c>
      <c r="J22" s="276">
        <f t="shared" si="7"/>
        <v>25</v>
      </c>
      <c r="K22" s="187" t="s">
        <v>22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 t="s">
        <v>15</v>
      </c>
      <c r="V22" s="7" t="s">
        <v>15</v>
      </c>
      <c r="W22" s="153" t="s">
        <v>15</v>
      </c>
      <c r="AB22" s="148" t="s">
        <v>15</v>
      </c>
      <c r="AC22" s="7" t="s">
        <v>15</v>
      </c>
      <c r="AD22" s="153" t="s">
        <v>15</v>
      </c>
      <c r="AE22" s="148" t="s">
        <v>15</v>
      </c>
      <c r="AF22" s="7" t="s">
        <v>15</v>
      </c>
      <c r="AG22" s="153" t="s">
        <v>15</v>
      </c>
      <c r="AH22" s="148" t="s">
        <v>15</v>
      </c>
      <c r="AI22" s="7" t="s">
        <v>15</v>
      </c>
      <c r="AJ22" s="7" t="s">
        <v>15</v>
      </c>
      <c r="AK22" s="148">
        <v>23</v>
      </c>
      <c r="AL22" s="7">
        <v>28</v>
      </c>
      <c r="AM22" s="153">
        <f t="shared" ref="AM22" si="24">SUM(AK22/AL22)*100</f>
        <v>82.142857142857139</v>
      </c>
      <c r="AN22" s="148" t="s">
        <v>15</v>
      </c>
      <c r="AO22" s="7" t="s">
        <v>15</v>
      </c>
      <c r="AP22" s="7" t="s">
        <v>15</v>
      </c>
      <c r="AQ22" s="148" t="s">
        <v>15</v>
      </c>
      <c r="AR22" s="7" t="s">
        <v>15</v>
      </c>
      <c r="AS22" s="7" t="s">
        <v>15</v>
      </c>
      <c r="AT22" s="148" t="s">
        <v>15</v>
      </c>
      <c r="AU22" s="7" t="s">
        <v>15</v>
      </c>
      <c r="AV22" s="7" t="s">
        <v>15</v>
      </c>
      <c r="AW22" s="148" t="s">
        <v>15</v>
      </c>
      <c r="AX22" s="7" t="s">
        <v>15</v>
      </c>
      <c r="AY22" s="7" t="s">
        <v>15</v>
      </c>
      <c r="AZ22" s="148" t="s">
        <v>15</v>
      </c>
      <c r="BA22" s="7" t="s">
        <v>15</v>
      </c>
      <c r="BB22" s="7" t="s">
        <v>15</v>
      </c>
    </row>
    <row r="23" spans="1:54" ht="14.95" customHeight="1" thickBot="1" x14ac:dyDescent="0.3">
      <c r="A23" s="187" t="s">
        <v>855</v>
      </c>
      <c r="B23" s="185">
        <v>0</v>
      </c>
      <c r="C23" s="268">
        <v>0</v>
      </c>
      <c r="D23" s="220">
        <v>0</v>
      </c>
      <c r="E23" s="189">
        <f t="shared" si="6"/>
        <v>0</v>
      </c>
      <c r="F23" s="274" t="s">
        <v>855</v>
      </c>
      <c r="G23" s="278">
        <v>0</v>
      </c>
      <c r="H23" s="271">
        <v>0</v>
      </c>
      <c r="I23" s="272">
        <v>0</v>
      </c>
      <c r="J23" s="276">
        <f t="shared" si="7"/>
        <v>0</v>
      </c>
    </row>
    <row r="24" spans="1:54" ht="14.95" customHeight="1" thickBot="1" x14ac:dyDescent="0.3">
      <c r="A24" s="187" t="s">
        <v>806</v>
      </c>
      <c r="B24" s="185">
        <v>0</v>
      </c>
      <c r="C24" s="268">
        <v>0</v>
      </c>
      <c r="D24" s="220">
        <v>1</v>
      </c>
      <c r="E24" s="189">
        <f t="shared" si="6"/>
        <v>1</v>
      </c>
      <c r="F24" s="274" t="s">
        <v>806</v>
      </c>
      <c r="G24" s="278">
        <v>0</v>
      </c>
      <c r="H24" s="271">
        <v>0</v>
      </c>
      <c r="I24" s="272">
        <v>5</v>
      </c>
      <c r="J24" s="276">
        <f t="shared" si="7"/>
        <v>5</v>
      </c>
      <c r="K24" s="479" t="s">
        <v>1032</v>
      </c>
      <c r="L24" s="512" t="s">
        <v>14</v>
      </c>
      <c r="M24" s="513"/>
      <c r="N24" s="514"/>
      <c r="O24" s="457" t="s">
        <v>234</v>
      </c>
      <c r="P24" s="458"/>
      <c r="Q24" s="459"/>
      <c r="R24" s="457" t="s">
        <v>903</v>
      </c>
      <c r="S24" s="458"/>
      <c r="T24" s="459"/>
      <c r="U24" s="457" t="s">
        <v>601</v>
      </c>
      <c r="V24" s="458"/>
      <c r="W24" s="459"/>
      <c r="AB24" s="457" t="s">
        <v>494</v>
      </c>
      <c r="AC24" s="458"/>
      <c r="AD24" s="459"/>
      <c r="AE24" s="457" t="s">
        <v>313</v>
      </c>
      <c r="AF24" s="458"/>
      <c r="AG24" s="459"/>
      <c r="AH24" s="457" t="s">
        <v>227</v>
      </c>
      <c r="AI24" s="458"/>
      <c r="AJ24" s="459"/>
      <c r="AK24" s="457" t="s">
        <v>172</v>
      </c>
      <c r="AL24" s="458"/>
      <c r="AM24" s="459"/>
      <c r="AN24" s="457" t="s">
        <v>79</v>
      </c>
      <c r="AO24" s="458"/>
      <c r="AP24" s="459"/>
      <c r="AQ24" s="457" t="s">
        <v>50</v>
      </c>
      <c r="AR24" s="458"/>
      <c r="AS24" s="459"/>
      <c r="AT24" s="457" t="s">
        <v>37</v>
      </c>
      <c r="AU24" s="458"/>
      <c r="AV24" s="459"/>
      <c r="AW24" s="527"/>
      <c r="AX24" s="527"/>
      <c r="AY24" s="527"/>
      <c r="AZ24" s="36"/>
    </row>
    <row r="25" spans="1:54" ht="14.95" customHeight="1" thickBot="1" x14ac:dyDescent="0.3">
      <c r="A25" s="187" t="s">
        <v>792</v>
      </c>
      <c r="B25" s="185">
        <v>2</v>
      </c>
      <c r="C25" s="268">
        <v>0</v>
      </c>
      <c r="D25" s="220">
        <v>0</v>
      </c>
      <c r="E25" s="189">
        <f t="shared" si="6"/>
        <v>2</v>
      </c>
      <c r="F25" s="274" t="s">
        <v>792</v>
      </c>
      <c r="G25" s="278">
        <v>10</v>
      </c>
      <c r="H25" s="271">
        <v>0</v>
      </c>
      <c r="I25" s="272">
        <v>0</v>
      </c>
      <c r="J25" s="276">
        <f t="shared" si="7"/>
        <v>10</v>
      </c>
      <c r="K25" s="480"/>
      <c r="L25" s="515"/>
      <c r="M25" s="516"/>
      <c r="N25" s="517"/>
      <c r="O25" s="460"/>
      <c r="P25" s="461"/>
      <c r="Q25" s="462"/>
      <c r="R25" s="460"/>
      <c r="S25" s="461"/>
      <c r="T25" s="462"/>
      <c r="U25" s="460"/>
      <c r="V25" s="461"/>
      <c r="W25" s="462"/>
      <c r="AB25" s="460"/>
      <c r="AC25" s="461"/>
      <c r="AD25" s="462"/>
      <c r="AE25" s="460"/>
      <c r="AF25" s="461"/>
      <c r="AG25" s="462"/>
      <c r="AH25" s="460"/>
      <c r="AI25" s="461"/>
      <c r="AJ25" s="462"/>
      <c r="AK25" s="460"/>
      <c r="AL25" s="461"/>
      <c r="AM25" s="462"/>
      <c r="AN25" s="460"/>
      <c r="AO25" s="461"/>
      <c r="AP25" s="462"/>
      <c r="AQ25" s="460"/>
      <c r="AR25" s="461"/>
      <c r="AS25" s="462"/>
      <c r="AT25" s="460"/>
      <c r="AU25" s="461"/>
      <c r="AV25" s="462"/>
      <c r="AW25" s="527"/>
      <c r="AX25" s="527"/>
      <c r="AY25" s="527"/>
      <c r="AZ25" s="36"/>
    </row>
    <row r="26" spans="1:54" ht="14.95" customHeight="1" thickBot="1" x14ac:dyDescent="0.3">
      <c r="A26" s="187" t="s">
        <v>357</v>
      </c>
      <c r="B26" s="185">
        <v>0</v>
      </c>
      <c r="C26" s="268">
        <v>0</v>
      </c>
      <c r="D26" s="220">
        <v>0</v>
      </c>
      <c r="E26" s="189">
        <f t="shared" si="6"/>
        <v>0</v>
      </c>
      <c r="F26" s="274" t="s">
        <v>357</v>
      </c>
      <c r="G26" s="278">
        <v>0</v>
      </c>
      <c r="H26" s="271">
        <v>0</v>
      </c>
      <c r="I26" s="272">
        <v>0</v>
      </c>
      <c r="J26" s="276">
        <f t="shared" si="7"/>
        <v>0</v>
      </c>
      <c r="K26" s="366" t="s">
        <v>21</v>
      </c>
      <c r="L26" s="163" t="s">
        <v>46</v>
      </c>
      <c r="M26" s="163" t="s">
        <v>9</v>
      </c>
      <c r="N26" s="163" t="s">
        <v>10</v>
      </c>
      <c r="O26" s="7" t="s">
        <v>46</v>
      </c>
      <c r="P26" s="7" t="s">
        <v>9</v>
      </c>
      <c r="Q26" s="7" t="s">
        <v>10</v>
      </c>
      <c r="R26" s="7" t="s">
        <v>46</v>
      </c>
      <c r="S26" s="7" t="s">
        <v>9</v>
      </c>
      <c r="T26" s="7" t="s">
        <v>10</v>
      </c>
      <c r="U26" s="7" t="s">
        <v>46</v>
      </c>
      <c r="V26" s="7" t="s">
        <v>9</v>
      </c>
      <c r="W26" s="7" t="s">
        <v>10</v>
      </c>
      <c r="AB26" s="148" t="s">
        <v>46</v>
      </c>
      <c r="AC26" s="7" t="s">
        <v>9</v>
      </c>
      <c r="AD26" s="7" t="s">
        <v>10</v>
      </c>
      <c r="AE26" s="148" t="s">
        <v>46</v>
      </c>
      <c r="AF26" s="7" t="s">
        <v>9</v>
      </c>
      <c r="AG26" s="7" t="s">
        <v>10</v>
      </c>
      <c r="AH26" s="148" t="s">
        <v>46</v>
      </c>
      <c r="AI26" s="7" t="s">
        <v>9</v>
      </c>
      <c r="AJ26" s="7" t="s">
        <v>10</v>
      </c>
      <c r="AK26" s="148" t="s">
        <v>46</v>
      </c>
      <c r="AL26" s="7" t="s">
        <v>9</v>
      </c>
      <c r="AM26" s="7" t="s">
        <v>10</v>
      </c>
      <c r="AN26" s="148" t="s">
        <v>46</v>
      </c>
      <c r="AO26" s="7" t="s">
        <v>9</v>
      </c>
      <c r="AP26" s="7" t="s">
        <v>10</v>
      </c>
      <c r="AQ26" s="148" t="s">
        <v>46</v>
      </c>
      <c r="AR26" s="7" t="s">
        <v>9</v>
      </c>
      <c r="AS26" s="7" t="s">
        <v>10</v>
      </c>
      <c r="AT26" s="6" t="s">
        <v>46</v>
      </c>
      <c r="AU26" s="7" t="s">
        <v>9</v>
      </c>
      <c r="AV26" s="7" t="s">
        <v>10</v>
      </c>
      <c r="AW26" s="45"/>
      <c r="AX26" s="45"/>
      <c r="AY26" s="45"/>
      <c r="AZ26" s="36"/>
    </row>
    <row r="27" spans="1:54" ht="14.95" customHeight="1" thickBot="1" x14ac:dyDescent="0.3">
      <c r="A27" s="187" t="s">
        <v>302</v>
      </c>
      <c r="B27" s="185">
        <v>1</v>
      </c>
      <c r="C27" s="268">
        <v>1</v>
      </c>
      <c r="D27" s="220">
        <v>0</v>
      </c>
      <c r="E27" s="189">
        <f t="shared" si="6"/>
        <v>2</v>
      </c>
      <c r="F27" s="274" t="s">
        <v>302</v>
      </c>
      <c r="G27" s="278">
        <v>5</v>
      </c>
      <c r="H27" s="271">
        <v>5</v>
      </c>
      <c r="I27" s="272">
        <v>0</v>
      </c>
      <c r="J27" s="276">
        <f t="shared" si="7"/>
        <v>10</v>
      </c>
      <c r="K27" s="187" t="s">
        <v>371</v>
      </c>
      <c r="L27" s="189" t="s">
        <v>15</v>
      </c>
      <c r="M27" s="189" t="s">
        <v>15</v>
      </c>
      <c r="N27" s="190" t="s">
        <v>15</v>
      </c>
      <c r="O27" s="7" t="s">
        <v>15</v>
      </c>
      <c r="P27" s="7" t="s">
        <v>15</v>
      </c>
      <c r="Q27" s="153" t="s">
        <v>15</v>
      </c>
      <c r="R27" s="7" t="s">
        <v>15</v>
      </c>
      <c r="S27" s="7" t="s">
        <v>15</v>
      </c>
      <c r="T27" s="153" t="s">
        <v>15</v>
      </c>
      <c r="U27" s="7" t="s">
        <v>15</v>
      </c>
      <c r="V27" s="7" t="s">
        <v>15</v>
      </c>
      <c r="W27" s="153" t="s">
        <v>15</v>
      </c>
      <c r="AB27" s="148">
        <v>0</v>
      </c>
      <c r="AC27" s="7">
        <v>1</v>
      </c>
      <c r="AD27" s="153">
        <f t="shared" ref="AD27:AD28" si="25">SUM(AB27/AC27)*100</f>
        <v>0</v>
      </c>
      <c r="AE27" s="148" t="s">
        <v>15</v>
      </c>
      <c r="AF27" s="7" t="s">
        <v>15</v>
      </c>
      <c r="AG27" s="153" t="s">
        <v>15</v>
      </c>
      <c r="AH27" s="6" t="s">
        <v>15</v>
      </c>
      <c r="AI27" s="7" t="s">
        <v>15</v>
      </c>
      <c r="AJ27" s="153" t="s">
        <v>15</v>
      </c>
      <c r="AK27" s="148" t="s">
        <v>15</v>
      </c>
      <c r="AL27" s="7" t="s">
        <v>15</v>
      </c>
      <c r="AM27" s="7" t="s">
        <v>15</v>
      </c>
      <c r="AN27" s="148" t="s">
        <v>15</v>
      </c>
      <c r="AO27" s="7" t="s">
        <v>15</v>
      </c>
      <c r="AP27" s="7" t="s">
        <v>15</v>
      </c>
      <c r="AQ27" s="148" t="s">
        <v>15</v>
      </c>
      <c r="AR27" s="7" t="s">
        <v>15</v>
      </c>
      <c r="AS27" s="7" t="s">
        <v>15</v>
      </c>
      <c r="AT27" s="148" t="s">
        <v>15</v>
      </c>
      <c r="AU27" s="7" t="s">
        <v>15</v>
      </c>
      <c r="AV27" s="7" t="s">
        <v>15</v>
      </c>
      <c r="AW27" s="45"/>
      <c r="AX27" s="45"/>
      <c r="AY27" s="45"/>
      <c r="AZ27" s="36"/>
    </row>
    <row r="28" spans="1:54" ht="14.95" customHeight="1" thickBot="1" x14ac:dyDescent="0.3">
      <c r="A28" s="187" t="s">
        <v>918</v>
      </c>
      <c r="B28" s="185">
        <v>0</v>
      </c>
      <c r="C28" s="268">
        <v>0</v>
      </c>
      <c r="D28" s="220">
        <v>0</v>
      </c>
      <c r="E28" s="189">
        <f t="shared" si="6"/>
        <v>0</v>
      </c>
      <c r="F28" s="274" t="s">
        <v>918</v>
      </c>
      <c r="G28" s="278">
        <v>0</v>
      </c>
      <c r="H28" s="271">
        <v>0</v>
      </c>
      <c r="I28" s="272">
        <v>2</v>
      </c>
      <c r="J28" s="276">
        <f t="shared" si="7"/>
        <v>2</v>
      </c>
      <c r="K28" s="187" t="s">
        <v>359</v>
      </c>
      <c r="L28" s="189">
        <v>1</v>
      </c>
      <c r="M28" s="189">
        <v>3</v>
      </c>
      <c r="N28" s="190">
        <f t="shared" ref="N28:N29" si="26">SUM(L28/M28)*100</f>
        <v>33.333333333333329</v>
      </c>
      <c r="O28" s="7">
        <v>19</v>
      </c>
      <c r="P28" s="7">
        <v>21</v>
      </c>
      <c r="Q28" s="153">
        <v>90.476190476190482</v>
      </c>
      <c r="R28" s="7">
        <v>1</v>
      </c>
      <c r="S28" s="7">
        <v>1</v>
      </c>
      <c r="T28" s="153">
        <v>100</v>
      </c>
      <c r="U28" s="7">
        <v>5</v>
      </c>
      <c r="V28" s="7">
        <v>6</v>
      </c>
      <c r="W28" s="153">
        <v>83.333333333333343</v>
      </c>
      <c r="AB28" s="148">
        <v>6</v>
      </c>
      <c r="AC28" s="7">
        <v>7</v>
      </c>
      <c r="AD28" s="153">
        <f t="shared" si="25"/>
        <v>85.714285714285708</v>
      </c>
      <c r="AE28" s="148" t="s">
        <v>15</v>
      </c>
      <c r="AF28" s="7" t="s">
        <v>15</v>
      </c>
      <c r="AG28" s="153" t="s">
        <v>15</v>
      </c>
      <c r="AH28" s="6" t="s">
        <v>15</v>
      </c>
      <c r="AI28" s="7" t="s">
        <v>15</v>
      </c>
      <c r="AJ28" s="153" t="s">
        <v>15</v>
      </c>
      <c r="AK28" s="148" t="s">
        <v>15</v>
      </c>
      <c r="AL28" s="7" t="s">
        <v>15</v>
      </c>
      <c r="AM28" s="7" t="s">
        <v>15</v>
      </c>
      <c r="AN28" s="148" t="s">
        <v>15</v>
      </c>
      <c r="AO28" s="7" t="s">
        <v>15</v>
      </c>
      <c r="AP28" s="7" t="s">
        <v>15</v>
      </c>
      <c r="AQ28" s="148" t="s">
        <v>15</v>
      </c>
      <c r="AR28" s="7" t="s">
        <v>15</v>
      </c>
      <c r="AS28" s="7" t="s">
        <v>15</v>
      </c>
      <c r="AT28" s="148" t="s">
        <v>15</v>
      </c>
      <c r="AU28" s="7" t="s">
        <v>15</v>
      </c>
      <c r="AV28" s="7" t="s">
        <v>15</v>
      </c>
      <c r="AW28" s="45"/>
      <c r="AX28" s="45"/>
      <c r="AY28" s="45"/>
      <c r="AZ28" s="36"/>
    </row>
    <row r="29" spans="1:54" ht="14.95" customHeight="1" thickBot="1" x14ac:dyDescent="0.3">
      <c r="A29" s="187" t="s">
        <v>243</v>
      </c>
      <c r="B29" s="185">
        <v>0</v>
      </c>
      <c r="C29" s="268">
        <v>0</v>
      </c>
      <c r="D29" s="220">
        <v>0</v>
      </c>
      <c r="E29" s="189">
        <f t="shared" si="6"/>
        <v>0</v>
      </c>
      <c r="F29" s="274" t="s">
        <v>243</v>
      </c>
      <c r="G29" s="278">
        <v>0</v>
      </c>
      <c r="H29" s="271">
        <v>0</v>
      </c>
      <c r="I29" s="272">
        <v>0</v>
      </c>
      <c r="J29" s="276">
        <f t="shared" si="7"/>
        <v>0</v>
      </c>
      <c r="K29" s="187" t="s">
        <v>525</v>
      </c>
      <c r="L29" s="189">
        <v>1</v>
      </c>
      <c r="M29" s="189">
        <v>3</v>
      </c>
      <c r="N29" s="190">
        <f t="shared" si="26"/>
        <v>33.333333333333329</v>
      </c>
      <c r="O29" s="7">
        <v>9</v>
      </c>
      <c r="P29" s="7">
        <v>10</v>
      </c>
      <c r="Q29" s="153">
        <v>90</v>
      </c>
      <c r="R29" s="7" t="s">
        <v>15</v>
      </c>
      <c r="S29" s="7" t="s">
        <v>15</v>
      </c>
      <c r="T29" s="153" t="s">
        <v>15</v>
      </c>
      <c r="U29" s="7" t="s">
        <v>15</v>
      </c>
      <c r="V29" s="7" t="s">
        <v>15</v>
      </c>
      <c r="W29" s="153" t="s">
        <v>15</v>
      </c>
      <c r="AB29" s="148" t="s">
        <v>15</v>
      </c>
      <c r="AC29" s="7" t="s">
        <v>15</v>
      </c>
      <c r="AD29" s="153" t="s">
        <v>15</v>
      </c>
      <c r="AE29" s="6" t="s">
        <v>15</v>
      </c>
      <c r="AF29" s="7" t="s">
        <v>15</v>
      </c>
      <c r="AG29" s="153" t="s">
        <v>15</v>
      </c>
      <c r="AH29" s="7" t="s">
        <v>15</v>
      </c>
      <c r="AI29" s="7" t="s">
        <v>15</v>
      </c>
      <c r="AJ29" s="153" t="s">
        <v>15</v>
      </c>
      <c r="AK29" s="7" t="s">
        <v>15</v>
      </c>
      <c r="AL29" s="7" t="s">
        <v>15</v>
      </c>
      <c r="AM29" s="153" t="s">
        <v>15</v>
      </c>
      <c r="AN29" s="7" t="s">
        <v>15</v>
      </c>
      <c r="AO29" s="7" t="s">
        <v>15</v>
      </c>
      <c r="AP29" s="153" t="s">
        <v>15</v>
      </c>
      <c r="AQ29" s="7" t="s">
        <v>15</v>
      </c>
      <c r="AR29" s="7" t="s">
        <v>15</v>
      </c>
      <c r="AS29" s="153" t="s">
        <v>15</v>
      </c>
      <c r="AT29" s="7" t="s">
        <v>15</v>
      </c>
      <c r="AU29" s="7" t="s">
        <v>15</v>
      </c>
      <c r="AV29" s="153" t="s">
        <v>15</v>
      </c>
      <c r="AW29" s="45"/>
      <c r="AX29" s="45"/>
      <c r="AY29" s="45"/>
      <c r="AZ29" s="36"/>
    </row>
    <row r="30" spans="1:54" ht="14.95" customHeight="1" thickBot="1" x14ac:dyDescent="0.3">
      <c r="A30" s="187" t="s">
        <v>668</v>
      </c>
      <c r="B30" s="185">
        <v>0</v>
      </c>
      <c r="C30" s="268">
        <v>0</v>
      </c>
      <c r="D30" s="220">
        <v>0</v>
      </c>
      <c r="E30" s="189">
        <f t="shared" si="6"/>
        <v>0</v>
      </c>
      <c r="F30" s="274" t="s">
        <v>668</v>
      </c>
      <c r="G30" s="278">
        <v>0</v>
      </c>
      <c r="H30" s="271">
        <v>0</v>
      </c>
      <c r="I30" s="272">
        <v>0</v>
      </c>
      <c r="J30" s="276">
        <f t="shared" si="7"/>
        <v>0</v>
      </c>
      <c r="K30" s="187" t="s">
        <v>918</v>
      </c>
      <c r="L30" s="189">
        <v>1</v>
      </c>
      <c r="M30" s="189">
        <v>1</v>
      </c>
      <c r="N30" s="190">
        <f t="shared" ref="N30:N31" si="27">SUM(L30/M30)*100</f>
        <v>100</v>
      </c>
      <c r="O30" s="7" t="s">
        <v>15</v>
      </c>
      <c r="P30" s="7" t="s">
        <v>15</v>
      </c>
      <c r="Q30" s="153" t="s">
        <v>15</v>
      </c>
      <c r="R30" s="7" t="s">
        <v>15</v>
      </c>
      <c r="S30" s="7" t="s">
        <v>15</v>
      </c>
      <c r="T30" s="153" t="s">
        <v>15</v>
      </c>
      <c r="U30" s="7" t="s">
        <v>15</v>
      </c>
      <c r="V30" s="7" t="s">
        <v>15</v>
      </c>
      <c r="W30" s="153" t="s">
        <v>15</v>
      </c>
      <c r="AB30" s="6" t="s">
        <v>15</v>
      </c>
      <c r="AC30" s="7" t="s">
        <v>15</v>
      </c>
      <c r="AD30" s="153" t="s">
        <v>15</v>
      </c>
      <c r="AE30" s="7" t="s">
        <v>15</v>
      </c>
      <c r="AF30" s="7" t="s">
        <v>15</v>
      </c>
      <c r="AG30" s="153" t="s">
        <v>15</v>
      </c>
      <c r="AH30" s="7" t="s">
        <v>15</v>
      </c>
      <c r="AI30" s="7" t="s">
        <v>15</v>
      </c>
      <c r="AJ30" s="153" t="s">
        <v>15</v>
      </c>
      <c r="AK30" s="7" t="s">
        <v>15</v>
      </c>
      <c r="AL30" s="7" t="s">
        <v>15</v>
      </c>
      <c r="AM30" s="153" t="s">
        <v>15</v>
      </c>
      <c r="AN30" s="7" t="s">
        <v>15</v>
      </c>
      <c r="AO30" s="7" t="s">
        <v>15</v>
      </c>
      <c r="AP30" s="153" t="s">
        <v>15</v>
      </c>
      <c r="AQ30" s="7" t="s">
        <v>15</v>
      </c>
      <c r="AR30" s="7" t="s">
        <v>15</v>
      </c>
      <c r="AS30" s="153" t="s">
        <v>15</v>
      </c>
      <c r="AT30" s="7" t="s">
        <v>15</v>
      </c>
      <c r="AU30" s="7" t="s">
        <v>15</v>
      </c>
      <c r="AV30" s="153" t="s">
        <v>15</v>
      </c>
      <c r="AW30" s="45"/>
      <c r="AX30" s="45"/>
      <c r="AY30" s="45"/>
      <c r="AZ30" s="36"/>
    </row>
    <row r="31" spans="1:54" ht="14.95" customHeight="1" thickBot="1" x14ac:dyDescent="0.3">
      <c r="A31" s="187" t="s">
        <v>208</v>
      </c>
      <c r="B31" s="185">
        <v>0</v>
      </c>
      <c r="C31" s="268">
        <v>1</v>
      </c>
      <c r="D31" s="220">
        <v>0</v>
      </c>
      <c r="E31" s="189">
        <f t="shared" si="6"/>
        <v>1</v>
      </c>
      <c r="F31" s="274" t="s">
        <v>208</v>
      </c>
      <c r="G31" s="278">
        <v>0</v>
      </c>
      <c r="H31" s="271">
        <v>5</v>
      </c>
      <c r="I31" s="272">
        <v>0</v>
      </c>
      <c r="J31" s="276">
        <f t="shared" si="7"/>
        <v>5</v>
      </c>
      <c r="K31" s="187" t="s">
        <v>426</v>
      </c>
      <c r="L31" s="189">
        <v>4</v>
      </c>
      <c r="M31" s="189">
        <v>4</v>
      </c>
      <c r="N31" s="190">
        <f t="shared" si="27"/>
        <v>100</v>
      </c>
      <c r="O31" s="7" t="s">
        <v>15</v>
      </c>
      <c r="P31" s="7" t="s">
        <v>15</v>
      </c>
      <c r="Q31" s="7" t="s">
        <v>15</v>
      </c>
      <c r="R31" s="7">
        <v>11</v>
      </c>
      <c r="S31" s="7">
        <v>12</v>
      </c>
      <c r="T31" s="7">
        <v>92</v>
      </c>
      <c r="U31" s="6" t="s">
        <v>15</v>
      </c>
      <c r="V31" s="7" t="s">
        <v>15</v>
      </c>
      <c r="W31" s="153" t="s">
        <v>15</v>
      </c>
      <c r="AB31" s="6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6" t="s">
        <v>15</v>
      </c>
      <c r="AI31" s="7" t="s">
        <v>15</v>
      </c>
      <c r="AJ31" s="153" t="s">
        <v>15</v>
      </c>
      <c r="AK31" s="6" t="s">
        <v>15</v>
      </c>
      <c r="AL31" s="7" t="s">
        <v>15</v>
      </c>
      <c r="AM31" s="153" t="s">
        <v>15</v>
      </c>
      <c r="AN31" s="6" t="s">
        <v>15</v>
      </c>
      <c r="AO31" s="7" t="s">
        <v>15</v>
      </c>
      <c r="AP31" s="153" t="s">
        <v>15</v>
      </c>
      <c r="AQ31" s="6" t="s">
        <v>15</v>
      </c>
      <c r="AR31" s="7" t="s">
        <v>15</v>
      </c>
      <c r="AS31" s="153" t="s">
        <v>15</v>
      </c>
      <c r="AT31" s="6" t="s">
        <v>15</v>
      </c>
      <c r="AU31" s="7" t="s">
        <v>15</v>
      </c>
      <c r="AV31" s="153" t="s">
        <v>15</v>
      </c>
      <c r="AW31" s="117"/>
      <c r="AX31" s="117"/>
      <c r="AY31" s="117"/>
      <c r="AZ31" s="36"/>
    </row>
    <row r="32" spans="1:54" ht="14.95" customHeight="1" thickBot="1" x14ac:dyDescent="0.3">
      <c r="A32" s="187" t="s">
        <v>203</v>
      </c>
      <c r="B32" s="185">
        <v>0</v>
      </c>
      <c r="C32" s="268">
        <v>0</v>
      </c>
      <c r="D32" s="220">
        <v>0</v>
      </c>
      <c r="E32" s="189">
        <f t="shared" si="6"/>
        <v>0</v>
      </c>
      <c r="F32" s="274" t="s">
        <v>203</v>
      </c>
      <c r="G32" s="278">
        <v>0</v>
      </c>
      <c r="H32" s="271">
        <v>0</v>
      </c>
      <c r="I32" s="272">
        <v>0</v>
      </c>
      <c r="J32" s="276">
        <f t="shared" si="7"/>
        <v>0</v>
      </c>
      <c r="K32" s="187" t="s">
        <v>22</v>
      </c>
      <c r="L32" s="189" t="s">
        <v>15</v>
      </c>
      <c r="M32" s="189" t="s">
        <v>15</v>
      </c>
      <c r="N32" s="190" t="s">
        <v>15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148" t="s">
        <v>15</v>
      </c>
      <c r="AC32" s="7" t="s">
        <v>15</v>
      </c>
      <c r="AD32" s="153" t="s">
        <v>15</v>
      </c>
      <c r="AE32" s="148">
        <v>20</v>
      </c>
      <c r="AF32" s="7">
        <v>25</v>
      </c>
      <c r="AG32" s="153">
        <f>(AE32/AF32)*100</f>
        <v>80</v>
      </c>
      <c r="AH32" s="148">
        <v>3</v>
      </c>
      <c r="AI32" s="7">
        <v>4</v>
      </c>
      <c r="AJ32" s="153">
        <f t="shared" ref="AJ32" si="28">SUM(AH32/AI32)*100</f>
        <v>75</v>
      </c>
      <c r="AK32" s="148" t="s">
        <v>15</v>
      </c>
      <c r="AL32" s="7" t="s">
        <v>15</v>
      </c>
      <c r="AM32" s="7" t="s">
        <v>15</v>
      </c>
      <c r="AN32" s="148" t="s">
        <v>15</v>
      </c>
      <c r="AO32" s="7" t="s">
        <v>15</v>
      </c>
      <c r="AP32" s="7" t="s">
        <v>15</v>
      </c>
      <c r="AQ32" s="148" t="s">
        <v>15</v>
      </c>
      <c r="AR32" s="7" t="s">
        <v>15</v>
      </c>
      <c r="AS32" s="7" t="s">
        <v>15</v>
      </c>
      <c r="AT32" s="148" t="s">
        <v>15</v>
      </c>
      <c r="AU32" s="7" t="s">
        <v>15</v>
      </c>
      <c r="AV32" s="7" t="s">
        <v>15</v>
      </c>
    </row>
    <row r="33" spans="1:23" ht="14.95" customHeight="1" thickBot="1" x14ac:dyDescent="0.3">
      <c r="A33" s="187" t="s">
        <v>165</v>
      </c>
      <c r="B33" s="185">
        <v>1</v>
      </c>
      <c r="C33" s="268">
        <v>3</v>
      </c>
      <c r="D33" s="220">
        <v>0</v>
      </c>
      <c r="E33" s="189">
        <f t="shared" si="6"/>
        <v>4</v>
      </c>
      <c r="F33" s="274" t="s">
        <v>165</v>
      </c>
      <c r="G33" s="278">
        <v>5</v>
      </c>
      <c r="H33" s="271">
        <v>15</v>
      </c>
      <c r="I33" s="272">
        <v>0</v>
      </c>
      <c r="J33" s="276">
        <f t="shared" si="7"/>
        <v>20</v>
      </c>
      <c r="K33" s="528" t="s">
        <v>1038</v>
      </c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</row>
    <row r="34" spans="1:23" ht="14.95" customHeight="1" thickBot="1" x14ac:dyDescent="0.3">
      <c r="A34" s="187" t="s">
        <v>427</v>
      </c>
      <c r="B34" s="185">
        <v>0</v>
      </c>
      <c r="C34" s="268">
        <v>0</v>
      </c>
      <c r="D34" s="220">
        <v>1</v>
      </c>
      <c r="E34" s="189">
        <f t="shared" si="6"/>
        <v>1</v>
      </c>
      <c r="F34" s="274" t="s">
        <v>427</v>
      </c>
      <c r="G34" s="278">
        <v>0</v>
      </c>
      <c r="H34" s="271">
        <v>0</v>
      </c>
      <c r="I34" s="272">
        <v>5</v>
      </c>
      <c r="J34" s="276">
        <f t="shared" si="7"/>
        <v>5</v>
      </c>
      <c r="K34" s="525" t="s">
        <v>21</v>
      </c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</row>
    <row r="35" spans="1:23" ht="14.95" customHeight="1" thickBot="1" x14ac:dyDescent="0.3">
      <c r="A35" s="187" t="s">
        <v>438</v>
      </c>
      <c r="B35" s="185">
        <v>0</v>
      </c>
      <c r="C35" s="268">
        <v>0</v>
      </c>
      <c r="D35" s="220">
        <v>0</v>
      </c>
      <c r="E35" s="189">
        <f t="shared" si="6"/>
        <v>0</v>
      </c>
      <c r="F35" s="274" t="s">
        <v>438</v>
      </c>
      <c r="G35" s="278">
        <v>0</v>
      </c>
      <c r="H35" s="271">
        <v>0</v>
      </c>
      <c r="I35" s="272">
        <v>0</v>
      </c>
      <c r="J35" s="276">
        <f t="shared" si="7"/>
        <v>0</v>
      </c>
      <c r="K35" s="93"/>
      <c r="L35" s="94"/>
      <c r="M35" s="94"/>
      <c r="N35" s="94"/>
      <c r="O35" s="94"/>
      <c r="P35" s="94"/>
      <c r="Q35" s="94"/>
    </row>
    <row r="36" spans="1:23" ht="14.95" customHeight="1" thickBot="1" x14ac:dyDescent="0.3">
      <c r="A36" s="187" t="s">
        <v>205</v>
      </c>
      <c r="B36" s="185">
        <v>1</v>
      </c>
      <c r="C36" s="268">
        <v>1</v>
      </c>
      <c r="D36" s="220">
        <v>0</v>
      </c>
      <c r="E36" s="189">
        <f t="shared" si="6"/>
        <v>2</v>
      </c>
      <c r="F36" s="274" t="s">
        <v>205</v>
      </c>
      <c r="G36" s="278">
        <v>5</v>
      </c>
      <c r="H36" s="271">
        <v>5</v>
      </c>
      <c r="I36" s="272">
        <v>0</v>
      </c>
      <c r="J36" s="276">
        <f t="shared" si="7"/>
        <v>10</v>
      </c>
      <c r="K36" s="93"/>
      <c r="L36" s="94"/>
      <c r="M36" s="94"/>
      <c r="N36" s="94"/>
      <c r="O36" s="94"/>
      <c r="P36" s="94"/>
      <c r="Q36" s="94"/>
    </row>
    <row r="37" spans="1:23" ht="14.95" customHeight="1" thickBot="1" x14ac:dyDescent="0.3">
      <c r="A37" s="187" t="s">
        <v>423</v>
      </c>
      <c r="B37" s="185">
        <v>0</v>
      </c>
      <c r="C37" s="268">
        <v>0</v>
      </c>
      <c r="D37" s="220">
        <v>0</v>
      </c>
      <c r="E37" s="189">
        <f t="shared" si="6"/>
        <v>0</v>
      </c>
      <c r="F37" s="274" t="s">
        <v>423</v>
      </c>
      <c r="G37" s="278">
        <v>0</v>
      </c>
      <c r="H37" s="271">
        <v>0</v>
      </c>
      <c r="I37" s="272">
        <v>0</v>
      </c>
      <c r="J37" s="276">
        <f t="shared" si="7"/>
        <v>0</v>
      </c>
      <c r="K37" s="93"/>
      <c r="L37" s="94"/>
      <c r="M37" s="94"/>
      <c r="N37" s="94"/>
      <c r="O37" s="94"/>
      <c r="P37" s="94"/>
      <c r="Q37" s="94"/>
    </row>
    <row r="38" spans="1:23" ht="14.95" customHeight="1" thickBot="1" x14ac:dyDescent="0.3">
      <c r="A38" s="187" t="s">
        <v>4</v>
      </c>
      <c r="B38" s="185">
        <v>0</v>
      </c>
      <c r="C38" s="268">
        <v>1</v>
      </c>
      <c r="D38" s="220">
        <v>0</v>
      </c>
      <c r="E38" s="189">
        <f t="shared" si="6"/>
        <v>1</v>
      </c>
      <c r="F38" s="274" t="s">
        <v>4</v>
      </c>
      <c r="G38" s="278">
        <v>0</v>
      </c>
      <c r="H38" s="271">
        <v>7</v>
      </c>
      <c r="I38" s="272">
        <v>0</v>
      </c>
      <c r="J38" s="276">
        <f t="shared" si="7"/>
        <v>7</v>
      </c>
    </row>
    <row r="39" spans="1:23" ht="14.95" customHeight="1" thickBot="1" x14ac:dyDescent="0.3">
      <c r="A39" s="187" t="s">
        <v>974</v>
      </c>
      <c r="B39" s="185">
        <v>0</v>
      </c>
      <c r="C39" s="268">
        <v>0</v>
      </c>
      <c r="D39" s="220">
        <v>0</v>
      </c>
      <c r="E39" s="189">
        <f t="shared" si="6"/>
        <v>0</v>
      </c>
      <c r="F39" s="274" t="s">
        <v>974</v>
      </c>
      <c r="G39" s="278">
        <v>0</v>
      </c>
      <c r="H39" s="271">
        <v>0</v>
      </c>
      <c r="I39" s="272">
        <v>0</v>
      </c>
      <c r="J39" s="276">
        <f t="shared" si="7"/>
        <v>0</v>
      </c>
    </row>
    <row r="40" spans="1:23" ht="14.95" customHeight="1" thickBot="1" x14ac:dyDescent="0.3">
      <c r="A40" s="187" t="s">
        <v>262</v>
      </c>
      <c r="B40" s="185">
        <v>2</v>
      </c>
      <c r="C40" s="268">
        <v>2</v>
      </c>
      <c r="D40" s="220">
        <v>0</v>
      </c>
      <c r="E40" s="189">
        <f t="shared" si="6"/>
        <v>4</v>
      </c>
      <c r="F40" s="274" t="s">
        <v>262</v>
      </c>
      <c r="G40" s="278">
        <v>10</v>
      </c>
      <c r="H40" s="271">
        <v>10</v>
      </c>
      <c r="I40" s="272">
        <v>0</v>
      </c>
      <c r="J40" s="276">
        <f t="shared" si="7"/>
        <v>20</v>
      </c>
    </row>
    <row r="41" spans="1:23" ht="14.95" customHeight="1" thickBot="1" x14ac:dyDescent="0.3">
      <c r="A41" s="187" t="s">
        <v>415</v>
      </c>
      <c r="B41" s="185">
        <v>0</v>
      </c>
      <c r="C41" s="268">
        <v>2</v>
      </c>
      <c r="D41" s="220">
        <v>1</v>
      </c>
      <c r="E41" s="189">
        <f t="shared" si="6"/>
        <v>3</v>
      </c>
      <c r="F41" s="274" t="s">
        <v>415</v>
      </c>
      <c r="G41" s="278">
        <v>0</v>
      </c>
      <c r="H41" s="271">
        <v>10</v>
      </c>
      <c r="I41" s="272">
        <v>5</v>
      </c>
      <c r="J41" s="276">
        <f t="shared" si="7"/>
        <v>15</v>
      </c>
    </row>
    <row r="42" spans="1:23" ht="14.95" customHeight="1" thickBot="1" x14ac:dyDescent="0.3">
      <c r="A42" s="187" t="s">
        <v>808</v>
      </c>
      <c r="B42" s="185">
        <v>0</v>
      </c>
      <c r="C42" s="268">
        <v>0</v>
      </c>
      <c r="D42" s="220">
        <v>0</v>
      </c>
      <c r="E42" s="189">
        <f t="shared" si="6"/>
        <v>0</v>
      </c>
      <c r="F42" s="274" t="s">
        <v>808</v>
      </c>
      <c r="G42" s="278">
        <v>0</v>
      </c>
      <c r="H42" s="271">
        <v>0</v>
      </c>
      <c r="I42" s="272">
        <v>0</v>
      </c>
      <c r="J42" s="276">
        <f t="shared" si="7"/>
        <v>0</v>
      </c>
    </row>
    <row r="43" spans="1:23" ht="14.95" customHeight="1" thickBot="1" x14ac:dyDescent="0.3">
      <c r="A43" s="187" t="s">
        <v>426</v>
      </c>
      <c r="B43" s="185">
        <v>0</v>
      </c>
      <c r="C43" s="268">
        <v>0</v>
      </c>
      <c r="D43" s="220">
        <v>0</v>
      </c>
      <c r="E43" s="189">
        <f t="shared" si="6"/>
        <v>0</v>
      </c>
      <c r="F43" s="274" t="s">
        <v>426</v>
      </c>
      <c r="G43" s="278">
        <v>0</v>
      </c>
      <c r="H43" s="271">
        <v>0</v>
      </c>
      <c r="I43" s="272">
        <v>8</v>
      </c>
      <c r="J43" s="276">
        <f t="shared" si="7"/>
        <v>8</v>
      </c>
    </row>
    <row r="44" spans="1:23" ht="14.95" customHeight="1" thickBot="1" x14ac:dyDescent="0.3">
      <c r="A44" s="187" t="s">
        <v>22</v>
      </c>
      <c r="B44" s="185">
        <v>3</v>
      </c>
      <c r="C44" s="268">
        <v>0</v>
      </c>
      <c r="D44" s="220">
        <v>0</v>
      </c>
      <c r="E44" s="189">
        <f t="shared" si="6"/>
        <v>3</v>
      </c>
      <c r="F44" s="274" t="s">
        <v>22</v>
      </c>
      <c r="G44" s="278">
        <v>59</v>
      </c>
      <c r="H44" s="271">
        <v>46</v>
      </c>
      <c r="I44" s="272">
        <v>0</v>
      </c>
      <c r="J44" s="276">
        <f t="shared" si="7"/>
        <v>105</v>
      </c>
    </row>
    <row r="45" spans="1:23" ht="14.95" customHeight="1" thickBot="1" x14ac:dyDescent="0.3">
      <c r="A45" s="187" t="s">
        <v>1071</v>
      </c>
      <c r="B45" s="185">
        <v>0</v>
      </c>
      <c r="C45" s="268">
        <v>0</v>
      </c>
      <c r="D45" s="220">
        <v>1</v>
      </c>
      <c r="E45" s="189">
        <f t="shared" si="6"/>
        <v>1</v>
      </c>
      <c r="F45" s="274" t="s">
        <v>1071</v>
      </c>
      <c r="G45" s="278">
        <v>0</v>
      </c>
      <c r="H45" s="271">
        <v>0</v>
      </c>
      <c r="I45" s="272">
        <v>5</v>
      </c>
      <c r="J45" s="276">
        <f t="shared" si="7"/>
        <v>5</v>
      </c>
    </row>
    <row r="46" spans="1:23" ht="14.95" customHeight="1" thickBot="1" x14ac:dyDescent="0.3">
      <c r="A46" s="187" t="s">
        <v>977</v>
      </c>
      <c r="B46" s="185">
        <v>0</v>
      </c>
      <c r="C46" s="268">
        <v>0</v>
      </c>
      <c r="D46" s="220">
        <v>0</v>
      </c>
      <c r="E46" s="189">
        <f t="shared" si="6"/>
        <v>0</v>
      </c>
      <c r="F46" s="274" t="s">
        <v>977</v>
      </c>
      <c r="G46" s="278">
        <v>0</v>
      </c>
      <c r="H46" s="271">
        <v>0</v>
      </c>
      <c r="I46" s="272">
        <v>0</v>
      </c>
      <c r="J46" s="276">
        <f t="shared" si="7"/>
        <v>0</v>
      </c>
    </row>
    <row r="47" spans="1:23" ht="14.95" customHeight="1" thickBot="1" x14ac:dyDescent="0.3">
      <c r="A47" s="187" t="s">
        <v>973</v>
      </c>
      <c r="B47" s="185">
        <v>0</v>
      </c>
      <c r="C47" s="268">
        <v>2</v>
      </c>
      <c r="D47" s="220">
        <v>0</v>
      </c>
      <c r="E47" s="189">
        <f t="shared" ref="E47:E49" si="29">SUM(B47:D47)</f>
        <v>2</v>
      </c>
      <c r="F47" s="274" t="s">
        <v>973</v>
      </c>
      <c r="G47" s="278">
        <v>0</v>
      </c>
      <c r="H47" s="271">
        <v>10</v>
      </c>
      <c r="I47" s="272">
        <v>0</v>
      </c>
      <c r="J47" s="276">
        <f t="shared" ref="J47:J49" si="30">SUM(G47:I47)</f>
        <v>10</v>
      </c>
    </row>
    <row r="48" spans="1:23" ht="14.95" customHeight="1" thickBot="1" x14ac:dyDescent="0.3">
      <c r="A48" s="187" t="s">
        <v>976</v>
      </c>
      <c r="B48" s="185">
        <v>1</v>
      </c>
      <c r="C48" s="268">
        <v>0</v>
      </c>
      <c r="D48" s="220">
        <v>0</v>
      </c>
      <c r="E48" s="189">
        <f t="shared" si="29"/>
        <v>1</v>
      </c>
      <c r="F48" s="274" t="s">
        <v>976</v>
      </c>
      <c r="G48" s="278">
        <v>5</v>
      </c>
      <c r="H48" s="271">
        <v>0</v>
      </c>
      <c r="I48" s="272">
        <v>0</v>
      </c>
      <c r="J48" s="276">
        <f t="shared" si="30"/>
        <v>5</v>
      </c>
    </row>
    <row r="49" spans="1:10" ht="14.95" customHeight="1" thickBot="1" x14ac:dyDescent="0.3">
      <c r="A49" s="187" t="s">
        <v>874</v>
      </c>
      <c r="B49" s="185">
        <v>0</v>
      </c>
      <c r="C49" s="268">
        <v>0</v>
      </c>
      <c r="D49" s="220">
        <v>0</v>
      </c>
      <c r="E49" s="189">
        <f t="shared" si="29"/>
        <v>0</v>
      </c>
      <c r="F49" s="274" t="s">
        <v>874</v>
      </c>
      <c r="G49" s="278">
        <v>0</v>
      </c>
      <c r="H49" s="271">
        <v>0</v>
      </c>
      <c r="I49" s="272">
        <v>0</v>
      </c>
      <c r="J49" s="276">
        <f t="shared" si="30"/>
        <v>0</v>
      </c>
    </row>
    <row r="50" spans="1:10" ht="14.95" customHeight="1" thickBot="1" x14ac:dyDescent="0.3">
      <c r="A50" s="187" t="s">
        <v>20</v>
      </c>
      <c r="B50" s="185">
        <v>1</v>
      </c>
      <c r="C50" s="268">
        <v>0</v>
      </c>
      <c r="D50" s="220">
        <v>2</v>
      </c>
      <c r="E50" s="189">
        <f t="shared" si="6"/>
        <v>3</v>
      </c>
      <c r="F50" s="274" t="s">
        <v>20</v>
      </c>
      <c r="G50" s="278">
        <v>5</v>
      </c>
      <c r="H50" s="271">
        <v>0</v>
      </c>
      <c r="I50" s="272">
        <v>10</v>
      </c>
      <c r="J50" s="276">
        <f t="shared" si="7"/>
        <v>15</v>
      </c>
    </row>
    <row r="51" spans="1:10" ht="14.95" customHeight="1" thickBot="1" x14ac:dyDescent="0.3">
      <c r="A51" s="187" t="s">
        <v>979</v>
      </c>
      <c r="B51" s="185">
        <v>0</v>
      </c>
      <c r="C51" s="268">
        <v>0</v>
      </c>
      <c r="D51" s="220">
        <v>0</v>
      </c>
      <c r="E51" s="189">
        <f t="shared" si="6"/>
        <v>0</v>
      </c>
      <c r="F51" s="274" t="s">
        <v>979</v>
      </c>
      <c r="G51" s="278">
        <v>0</v>
      </c>
      <c r="H51" s="271">
        <v>0</v>
      </c>
      <c r="I51" s="272">
        <v>0</v>
      </c>
      <c r="J51" s="276">
        <f t="shared" si="7"/>
        <v>0</v>
      </c>
    </row>
    <row r="52" spans="1:10" ht="14.95" customHeight="1" thickBot="1" x14ac:dyDescent="0.3">
      <c r="A52" s="187" t="s">
        <v>5</v>
      </c>
      <c r="B52" s="185">
        <v>0</v>
      </c>
      <c r="C52" s="268">
        <v>0</v>
      </c>
      <c r="D52" s="220">
        <v>0</v>
      </c>
      <c r="E52" s="189">
        <f t="shared" si="6"/>
        <v>0</v>
      </c>
      <c r="F52" s="274" t="s">
        <v>5</v>
      </c>
      <c r="G52" s="278">
        <v>0</v>
      </c>
      <c r="H52" s="271">
        <v>0</v>
      </c>
      <c r="I52" s="272">
        <v>0</v>
      </c>
      <c r="J52" s="276">
        <f t="shared" si="7"/>
        <v>0</v>
      </c>
    </row>
    <row r="53" spans="1:10" ht="14.95" customHeight="1" thickBot="1" x14ac:dyDescent="0.3">
      <c r="A53" s="187" t="s">
        <v>3</v>
      </c>
      <c r="B53" s="185">
        <f>SUM(B3:B52)</f>
        <v>25</v>
      </c>
      <c r="C53" s="268">
        <f>SUM(C3:C52)</f>
        <v>26</v>
      </c>
      <c r="D53" s="220">
        <f>SUM(D3:D52)</f>
        <v>11</v>
      </c>
      <c r="E53" s="189">
        <f t="shared" si="6"/>
        <v>62</v>
      </c>
      <c r="F53" s="273" t="s">
        <v>3</v>
      </c>
      <c r="G53" s="277">
        <f>SUM(G3:G52)</f>
        <v>189</v>
      </c>
      <c r="H53" s="269">
        <f>SUM(H3:H52)</f>
        <v>184</v>
      </c>
      <c r="I53" s="272">
        <f>SUM(I3:I52)</f>
        <v>69</v>
      </c>
      <c r="J53" s="276">
        <f t="shared" si="7"/>
        <v>442</v>
      </c>
    </row>
    <row r="54" spans="1:10" ht="14.95" customHeight="1" x14ac:dyDescent="0.25">
      <c r="B54" s="132"/>
      <c r="C54" s="67"/>
      <c r="D54" s="67"/>
      <c r="F54" s="13"/>
      <c r="G54" s="140"/>
      <c r="H54" s="69"/>
      <c r="I54" s="69"/>
      <c r="J54" s="13"/>
    </row>
    <row r="55" spans="1:10" ht="17" thickBot="1" x14ac:dyDescent="0.3">
      <c r="A55" t="s">
        <v>12</v>
      </c>
      <c r="B55" s="132"/>
      <c r="C55" s="67"/>
      <c r="D55" s="67"/>
      <c r="F55" s="13"/>
      <c r="G55" s="140"/>
      <c r="H55" s="69"/>
      <c r="I55" s="69"/>
    </row>
    <row r="56" spans="1:10" ht="14.95" thickBot="1" x14ac:dyDescent="0.3">
      <c r="A56" s="186" t="s">
        <v>0</v>
      </c>
      <c r="B56" s="184" t="s">
        <v>226</v>
      </c>
      <c r="C56" s="267" t="s">
        <v>30</v>
      </c>
      <c r="D56" s="219" t="s">
        <v>339</v>
      </c>
      <c r="E56" s="188" t="s">
        <v>1</v>
      </c>
      <c r="F56" s="273" t="s">
        <v>2</v>
      </c>
      <c r="G56" s="277" t="s">
        <v>226</v>
      </c>
      <c r="H56" s="269" t="s">
        <v>30</v>
      </c>
      <c r="I56" s="270" t="s">
        <v>339</v>
      </c>
      <c r="J56" s="275" t="s">
        <v>1</v>
      </c>
    </row>
    <row r="57" spans="1:10" ht="14.95" thickBot="1" x14ac:dyDescent="0.3">
      <c r="A57" s="187" t="s">
        <v>287</v>
      </c>
      <c r="B57" s="185">
        <v>4</v>
      </c>
      <c r="C57" s="268">
        <v>1</v>
      </c>
      <c r="D57" s="220">
        <v>0</v>
      </c>
      <c r="E57" s="189">
        <f t="shared" ref="E57:E88" si="31">SUM(B57:D57)</f>
        <v>5</v>
      </c>
      <c r="F57" s="274" t="s">
        <v>22</v>
      </c>
      <c r="G57" s="278">
        <v>59</v>
      </c>
      <c r="H57" s="271">
        <v>46</v>
      </c>
      <c r="I57" s="272">
        <v>0</v>
      </c>
      <c r="J57" s="276">
        <f t="shared" ref="J57:J88" si="32">SUM(G57:I57)</f>
        <v>105</v>
      </c>
    </row>
    <row r="58" spans="1:10" ht="14.95" thickBot="1" x14ac:dyDescent="0.3">
      <c r="A58" s="187" t="s">
        <v>401</v>
      </c>
      <c r="B58" s="185">
        <v>2</v>
      </c>
      <c r="C58" s="268">
        <v>1</v>
      </c>
      <c r="D58" s="220">
        <v>1</v>
      </c>
      <c r="E58" s="189">
        <f t="shared" si="31"/>
        <v>4</v>
      </c>
      <c r="F58" s="274" t="s">
        <v>525</v>
      </c>
      <c r="G58" s="278">
        <v>17</v>
      </c>
      <c r="H58" s="271">
        <v>9</v>
      </c>
      <c r="I58" s="272">
        <v>2</v>
      </c>
      <c r="J58" s="276">
        <f t="shared" si="32"/>
        <v>28</v>
      </c>
    </row>
    <row r="59" spans="1:10" ht="14.95" thickBot="1" x14ac:dyDescent="0.3">
      <c r="A59" s="187" t="s">
        <v>98</v>
      </c>
      <c r="B59" s="185">
        <v>3</v>
      </c>
      <c r="C59" s="268">
        <v>1</v>
      </c>
      <c r="D59" s="220">
        <v>0</v>
      </c>
      <c r="E59" s="189">
        <f t="shared" si="31"/>
        <v>4</v>
      </c>
      <c r="F59" s="274" t="s">
        <v>287</v>
      </c>
      <c r="G59" s="278">
        <v>20</v>
      </c>
      <c r="H59" s="271">
        <v>5</v>
      </c>
      <c r="I59" s="272">
        <v>0</v>
      </c>
      <c r="J59" s="276">
        <f t="shared" si="32"/>
        <v>25</v>
      </c>
    </row>
    <row r="60" spans="1:10" ht="14.95" thickBot="1" x14ac:dyDescent="0.3">
      <c r="A60" s="187" t="s">
        <v>277</v>
      </c>
      <c r="B60" s="185">
        <v>4</v>
      </c>
      <c r="C60" s="268">
        <v>0</v>
      </c>
      <c r="D60" s="220">
        <v>0</v>
      </c>
      <c r="E60" s="189">
        <f t="shared" si="31"/>
        <v>4</v>
      </c>
      <c r="F60" s="274" t="s">
        <v>401</v>
      </c>
      <c r="G60" s="278">
        <v>10</v>
      </c>
      <c r="H60" s="271">
        <v>5</v>
      </c>
      <c r="I60" s="272">
        <v>5</v>
      </c>
      <c r="J60" s="276">
        <f t="shared" si="32"/>
        <v>20</v>
      </c>
    </row>
    <row r="61" spans="1:10" ht="14.95" thickBot="1" x14ac:dyDescent="0.3">
      <c r="A61" s="187" t="s">
        <v>165</v>
      </c>
      <c r="B61" s="185">
        <v>1</v>
      </c>
      <c r="C61" s="268">
        <v>3</v>
      </c>
      <c r="D61" s="220">
        <v>0</v>
      </c>
      <c r="E61" s="189">
        <f t="shared" si="31"/>
        <v>4</v>
      </c>
      <c r="F61" s="274" t="s">
        <v>98</v>
      </c>
      <c r="G61" s="278">
        <v>15</v>
      </c>
      <c r="H61" s="271">
        <v>5</v>
      </c>
      <c r="I61" s="272">
        <v>0</v>
      </c>
      <c r="J61" s="276">
        <f t="shared" si="32"/>
        <v>20</v>
      </c>
    </row>
    <row r="62" spans="1:10" ht="14.95" thickBot="1" x14ac:dyDescent="0.3">
      <c r="A62" s="187" t="s">
        <v>262</v>
      </c>
      <c r="B62" s="185">
        <v>2</v>
      </c>
      <c r="C62" s="268">
        <v>2</v>
      </c>
      <c r="D62" s="220">
        <v>0</v>
      </c>
      <c r="E62" s="189">
        <f t="shared" si="31"/>
        <v>4</v>
      </c>
      <c r="F62" s="274" t="s">
        <v>277</v>
      </c>
      <c r="G62" s="278">
        <v>20</v>
      </c>
      <c r="H62" s="271">
        <v>0</v>
      </c>
      <c r="I62" s="272">
        <v>0</v>
      </c>
      <c r="J62" s="276">
        <f t="shared" si="32"/>
        <v>20</v>
      </c>
    </row>
    <row r="63" spans="1:10" ht="14.95" thickBot="1" x14ac:dyDescent="0.3">
      <c r="A63" s="187" t="s">
        <v>169</v>
      </c>
      <c r="B63" s="185">
        <v>0</v>
      </c>
      <c r="C63" s="268">
        <v>3</v>
      </c>
      <c r="D63" s="220">
        <v>0</v>
      </c>
      <c r="E63" s="189">
        <f t="shared" si="31"/>
        <v>3</v>
      </c>
      <c r="F63" s="274" t="s">
        <v>165</v>
      </c>
      <c r="G63" s="278">
        <v>5</v>
      </c>
      <c r="H63" s="271">
        <v>15</v>
      </c>
      <c r="I63" s="272">
        <v>0</v>
      </c>
      <c r="J63" s="276">
        <f t="shared" si="32"/>
        <v>20</v>
      </c>
    </row>
    <row r="64" spans="1:10" ht="14.95" thickBot="1" x14ac:dyDescent="0.3">
      <c r="A64" s="187" t="s">
        <v>415</v>
      </c>
      <c r="B64" s="185">
        <v>0</v>
      </c>
      <c r="C64" s="268">
        <v>2</v>
      </c>
      <c r="D64" s="220">
        <v>1</v>
      </c>
      <c r="E64" s="189">
        <f t="shared" si="31"/>
        <v>3</v>
      </c>
      <c r="F64" s="274" t="s">
        <v>262</v>
      </c>
      <c r="G64" s="278">
        <v>10</v>
      </c>
      <c r="H64" s="271">
        <v>10</v>
      </c>
      <c r="I64" s="272">
        <v>0</v>
      </c>
      <c r="J64" s="276">
        <f t="shared" si="32"/>
        <v>20</v>
      </c>
    </row>
    <row r="65" spans="1:10" ht="14.95" thickBot="1" x14ac:dyDescent="0.3">
      <c r="A65" s="187" t="s">
        <v>22</v>
      </c>
      <c r="B65" s="185">
        <v>3</v>
      </c>
      <c r="C65" s="268">
        <v>0</v>
      </c>
      <c r="D65" s="220">
        <v>0</v>
      </c>
      <c r="E65" s="189">
        <f t="shared" si="31"/>
        <v>3</v>
      </c>
      <c r="F65" s="274" t="s">
        <v>169</v>
      </c>
      <c r="G65" s="278">
        <v>0</v>
      </c>
      <c r="H65" s="271">
        <v>15</v>
      </c>
      <c r="I65" s="272">
        <v>0</v>
      </c>
      <c r="J65" s="276">
        <f t="shared" si="32"/>
        <v>15</v>
      </c>
    </row>
    <row r="66" spans="1:10" ht="14.95" thickBot="1" x14ac:dyDescent="0.3">
      <c r="A66" s="187" t="s">
        <v>20</v>
      </c>
      <c r="B66" s="185">
        <v>1</v>
      </c>
      <c r="C66" s="268">
        <v>0</v>
      </c>
      <c r="D66" s="220">
        <v>2</v>
      </c>
      <c r="E66" s="189">
        <f t="shared" si="31"/>
        <v>3</v>
      </c>
      <c r="F66" s="274" t="s">
        <v>415</v>
      </c>
      <c r="G66" s="278">
        <v>0</v>
      </c>
      <c r="H66" s="271">
        <v>10</v>
      </c>
      <c r="I66" s="272">
        <v>5</v>
      </c>
      <c r="J66" s="276">
        <f t="shared" si="32"/>
        <v>15</v>
      </c>
    </row>
    <row r="67" spans="1:10" ht="14.95" thickBot="1" x14ac:dyDescent="0.3">
      <c r="A67" s="187" t="s">
        <v>673</v>
      </c>
      <c r="B67" s="185">
        <v>0</v>
      </c>
      <c r="C67" s="268">
        <v>0</v>
      </c>
      <c r="D67" s="220">
        <v>2</v>
      </c>
      <c r="E67" s="189">
        <f t="shared" si="31"/>
        <v>2</v>
      </c>
      <c r="F67" s="274" t="s">
        <v>20</v>
      </c>
      <c r="G67" s="278">
        <v>5</v>
      </c>
      <c r="H67" s="271">
        <v>0</v>
      </c>
      <c r="I67" s="272">
        <v>10</v>
      </c>
      <c r="J67" s="276">
        <f t="shared" si="32"/>
        <v>15</v>
      </c>
    </row>
    <row r="68" spans="1:10" ht="14.95" thickBot="1" x14ac:dyDescent="0.3">
      <c r="A68" s="187" t="s">
        <v>792</v>
      </c>
      <c r="B68" s="185">
        <v>2</v>
      </c>
      <c r="C68" s="268">
        <v>0</v>
      </c>
      <c r="D68" s="220">
        <v>0</v>
      </c>
      <c r="E68" s="189">
        <f t="shared" si="31"/>
        <v>2</v>
      </c>
      <c r="F68" s="274" t="s">
        <v>359</v>
      </c>
      <c r="G68" s="278">
        <v>3</v>
      </c>
      <c r="H68" s="271">
        <v>7</v>
      </c>
      <c r="I68" s="272">
        <v>2</v>
      </c>
      <c r="J68" s="276">
        <f t="shared" si="32"/>
        <v>12</v>
      </c>
    </row>
    <row r="69" spans="1:10" ht="14.95" thickBot="1" x14ac:dyDescent="0.3">
      <c r="A69" s="187" t="s">
        <v>302</v>
      </c>
      <c r="B69" s="185">
        <v>1</v>
      </c>
      <c r="C69" s="268">
        <v>1</v>
      </c>
      <c r="D69" s="220">
        <v>0</v>
      </c>
      <c r="E69" s="189">
        <f t="shared" si="31"/>
        <v>2</v>
      </c>
      <c r="F69" s="274" t="s">
        <v>673</v>
      </c>
      <c r="G69" s="278">
        <v>0</v>
      </c>
      <c r="H69" s="271">
        <v>0</v>
      </c>
      <c r="I69" s="272">
        <v>10</v>
      </c>
      <c r="J69" s="276">
        <f t="shared" si="32"/>
        <v>10</v>
      </c>
    </row>
    <row r="70" spans="1:10" ht="14.95" thickBot="1" x14ac:dyDescent="0.3">
      <c r="A70" s="187" t="s">
        <v>205</v>
      </c>
      <c r="B70" s="185">
        <v>1</v>
      </c>
      <c r="C70" s="268">
        <v>1</v>
      </c>
      <c r="D70" s="220">
        <v>0</v>
      </c>
      <c r="E70" s="189">
        <f t="shared" si="31"/>
        <v>2</v>
      </c>
      <c r="F70" s="274" t="s">
        <v>792</v>
      </c>
      <c r="G70" s="278">
        <v>10</v>
      </c>
      <c r="H70" s="271">
        <v>0</v>
      </c>
      <c r="I70" s="272">
        <v>0</v>
      </c>
      <c r="J70" s="276">
        <f t="shared" si="32"/>
        <v>10</v>
      </c>
    </row>
    <row r="71" spans="1:10" ht="14.95" thickBot="1" x14ac:dyDescent="0.3">
      <c r="A71" s="187" t="s">
        <v>973</v>
      </c>
      <c r="B71" s="185">
        <v>0</v>
      </c>
      <c r="C71" s="268">
        <v>2</v>
      </c>
      <c r="D71" s="220">
        <v>0</v>
      </c>
      <c r="E71" s="189">
        <f t="shared" si="31"/>
        <v>2</v>
      </c>
      <c r="F71" s="274" t="s">
        <v>302</v>
      </c>
      <c r="G71" s="278">
        <v>5</v>
      </c>
      <c r="H71" s="271">
        <v>5</v>
      </c>
      <c r="I71" s="272">
        <v>0</v>
      </c>
      <c r="J71" s="276">
        <f t="shared" si="32"/>
        <v>10</v>
      </c>
    </row>
    <row r="72" spans="1:10" ht="14.95" thickBot="1" x14ac:dyDescent="0.3">
      <c r="A72" s="187" t="s">
        <v>489</v>
      </c>
      <c r="B72" s="185">
        <v>0</v>
      </c>
      <c r="C72" s="268">
        <v>1</v>
      </c>
      <c r="D72" s="220">
        <v>0</v>
      </c>
      <c r="E72" s="189">
        <f t="shared" si="31"/>
        <v>1</v>
      </c>
      <c r="F72" s="274" t="s">
        <v>205</v>
      </c>
      <c r="G72" s="278">
        <v>5</v>
      </c>
      <c r="H72" s="271">
        <v>5</v>
      </c>
      <c r="I72" s="272">
        <v>0</v>
      </c>
      <c r="J72" s="276">
        <f t="shared" si="32"/>
        <v>10</v>
      </c>
    </row>
    <row r="73" spans="1:10" ht="14.95" thickBot="1" x14ac:dyDescent="0.3">
      <c r="A73" s="187" t="s">
        <v>371</v>
      </c>
      <c r="B73" s="185">
        <v>0</v>
      </c>
      <c r="C73" s="268">
        <v>1</v>
      </c>
      <c r="D73" s="220">
        <v>0</v>
      </c>
      <c r="E73" s="189">
        <f t="shared" si="31"/>
        <v>1</v>
      </c>
      <c r="F73" s="274" t="s">
        <v>973</v>
      </c>
      <c r="G73" s="278">
        <v>0</v>
      </c>
      <c r="H73" s="271">
        <v>10</v>
      </c>
      <c r="I73" s="272">
        <v>0</v>
      </c>
      <c r="J73" s="276">
        <f t="shared" si="32"/>
        <v>10</v>
      </c>
    </row>
    <row r="74" spans="1:10" ht="14.95" thickBot="1" x14ac:dyDescent="0.3">
      <c r="A74" s="187" t="s">
        <v>359</v>
      </c>
      <c r="B74" s="185">
        <v>0</v>
      </c>
      <c r="C74" s="268">
        <v>1</v>
      </c>
      <c r="D74" s="220">
        <v>0</v>
      </c>
      <c r="E74" s="189">
        <f t="shared" si="31"/>
        <v>1</v>
      </c>
      <c r="F74" s="274" t="s">
        <v>426</v>
      </c>
      <c r="G74" s="278">
        <v>0</v>
      </c>
      <c r="H74" s="271">
        <v>0</v>
      </c>
      <c r="I74" s="272">
        <v>8</v>
      </c>
      <c r="J74" s="276">
        <f t="shared" si="32"/>
        <v>8</v>
      </c>
    </row>
    <row r="75" spans="1:10" ht="14.95" thickBot="1" x14ac:dyDescent="0.3">
      <c r="A75" s="187" t="s">
        <v>425</v>
      </c>
      <c r="B75" s="185">
        <v>0</v>
      </c>
      <c r="C75" s="268">
        <v>0</v>
      </c>
      <c r="D75" s="220">
        <v>1</v>
      </c>
      <c r="E75" s="189">
        <f t="shared" si="31"/>
        <v>1</v>
      </c>
      <c r="F75" s="274" t="s">
        <v>4</v>
      </c>
      <c r="G75" s="278">
        <v>0</v>
      </c>
      <c r="H75" s="271">
        <v>7</v>
      </c>
      <c r="I75" s="272">
        <v>0</v>
      </c>
      <c r="J75" s="276">
        <f t="shared" si="32"/>
        <v>7</v>
      </c>
    </row>
    <row r="76" spans="1:10" ht="14.95" thickBot="1" x14ac:dyDescent="0.3">
      <c r="A76" s="187" t="s">
        <v>395</v>
      </c>
      <c r="B76" s="185">
        <v>0</v>
      </c>
      <c r="C76" s="268">
        <v>1</v>
      </c>
      <c r="D76" s="220">
        <v>0</v>
      </c>
      <c r="E76" s="189">
        <f t="shared" si="31"/>
        <v>1</v>
      </c>
      <c r="F76" s="274" t="s">
        <v>489</v>
      </c>
      <c r="G76" s="278">
        <v>0</v>
      </c>
      <c r="H76" s="271">
        <v>5</v>
      </c>
      <c r="I76" s="272">
        <v>0</v>
      </c>
      <c r="J76" s="276">
        <f t="shared" si="32"/>
        <v>5</v>
      </c>
    </row>
    <row r="77" spans="1:10" ht="14.95" thickBot="1" x14ac:dyDescent="0.3">
      <c r="A77" s="187" t="s">
        <v>597</v>
      </c>
      <c r="B77" s="185">
        <v>0</v>
      </c>
      <c r="C77" s="268">
        <v>1</v>
      </c>
      <c r="D77" s="220">
        <v>0</v>
      </c>
      <c r="E77" s="189">
        <f t="shared" si="31"/>
        <v>1</v>
      </c>
      <c r="F77" s="274" t="s">
        <v>371</v>
      </c>
      <c r="G77" s="278">
        <v>0</v>
      </c>
      <c r="H77" s="271">
        <v>5</v>
      </c>
      <c r="I77" s="272">
        <v>0</v>
      </c>
      <c r="J77" s="276">
        <f t="shared" si="32"/>
        <v>5</v>
      </c>
    </row>
    <row r="78" spans="1:10" ht="14.95" thickBot="1" x14ac:dyDescent="0.3">
      <c r="A78" s="187" t="s">
        <v>980</v>
      </c>
      <c r="B78" s="185">
        <v>0</v>
      </c>
      <c r="C78" s="268">
        <v>1</v>
      </c>
      <c r="D78" s="220">
        <v>0</v>
      </c>
      <c r="E78" s="189">
        <f t="shared" si="31"/>
        <v>1</v>
      </c>
      <c r="F78" s="274" t="s">
        <v>425</v>
      </c>
      <c r="G78" s="278">
        <v>0</v>
      </c>
      <c r="H78" s="271">
        <v>0</v>
      </c>
      <c r="I78" s="272">
        <v>5</v>
      </c>
      <c r="J78" s="276">
        <f t="shared" si="32"/>
        <v>5</v>
      </c>
    </row>
    <row r="79" spans="1:10" ht="14.95" thickBot="1" x14ac:dyDescent="0.3">
      <c r="A79" s="187" t="s">
        <v>241</v>
      </c>
      <c r="B79" s="185">
        <v>0</v>
      </c>
      <c r="C79" s="268">
        <v>0</v>
      </c>
      <c r="D79" s="220">
        <v>1</v>
      </c>
      <c r="E79" s="189">
        <f t="shared" si="31"/>
        <v>1</v>
      </c>
      <c r="F79" s="274" t="s">
        <v>395</v>
      </c>
      <c r="G79" s="278">
        <v>0</v>
      </c>
      <c r="H79" s="271">
        <v>5</v>
      </c>
      <c r="I79" s="272">
        <v>0</v>
      </c>
      <c r="J79" s="276">
        <f t="shared" si="32"/>
        <v>5</v>
      </c>
    </row>
    <row r="80" spans="1:10" ht="14.95" thickBot="1" x14ac:dyDescent="0.3">
      <c r="A80" s="187" t="s">
        <v>525</v>
      </c>
      <c r="B80" s="185">
        <v>0</v>
      </c>
      <c r="C80" s="268">
        <v>1</v>
      </c>
      <c r="D80" s="220">
        <v>0</v>
      </c>
      <c r="E80" s="189">
        <f t="shared" si="31"/>
        <v>1</v>
      </c>
      <c r="F80" s="274" t="s">
        <v>597</v>
      </c>
      <c r="G80" s="278">
        <v>0</v>
      </c>
      <c r="H80" s="271">
        <v>5</v>
      </c>
      <c r="I80" s="272">
        <v>0</v>
      </c>
      <c r="J80" s="276">
        <f t="shared" si="32"/>
        <v>5</v>
      </c>
    </row>
    <row r="81" spans="1:10" ht="14.95" thickBot="1" x14ac:dyDescent="0.3">
      <c r="A81" s="187" t="s">
        <v>806</v>
      </c>
      <c r="B81" s="185">
        <v>0</v>
      </c>
      <c r="C81" s="268">
        <v>0</v>
      </c>
      <c r="D81" s="220">
        <v>1</v>
      </c>
      <c r="E81" s="189">
        <f t="shared" si="31"/>
        <v>1</v>
      </c>
      <c r="F81" s="274" t="s">
        <v>980</v>
      </c>
      <c r="G81" s="278">
        <v>0</v>
      </c>
      <c r="H81" s="271">
        <v>5</v>
      </c>
      <c r="I81" s="272">
        <v>0</v>
      </c>
      <c r="J81" s="276">
        <f t="shared" si="32"/>
        <v>5</v>
      </c>
    </row>
    <row r="82" spans="1:10" ht="14.95" thickBot="1" x14ac:dyDescent="0.3">
      <c r="A82" s="187" t="s">
        <v>208</v>
      </c>
      <c r="B82" s="185">
        <v>0</v>
      </c>
      <c r="C82" s="268">
        <v>1</v>
      </c>
      <c r="D82" s="220">
        <v>0</v>
      </c>
      <c r="E82" s="189">
        <f t="shared" si="31"/>
        <v>1</v>
      </c>
      <c r="F82" s="274" t="s">
        <v>241</v>
      </c>
      <c r="G82" s="278">
        <v>0</v>
      </c>
      <c r="H82" s="271">
        <v>0</v>
      </c>
      <c r="I82" s="272">
        <v>5</v>
      </c>
      <c r="J82" s="276">
        <f t="shared" si="32"/>
        <v>5</v>
      </c>
    </row>
    <row r="83" spans="1:10" ht="14.95" thickBot="1" x14ac:dyDescent="0.3">
      <c r="A83" s="187" t="s">
        <v>427</v>
      </c>
      <c r="B83" s="185">
        <v>0</v>
      </c>
      <c r="C83" s="268">
        <v>0</v>
      </c>
      <c r="D83" s="220">
        <v>1</v>
      </c>
      <c r="E83" s="189">
        <f t="shared" si="31"/>
        <v>1</v>
      </c>
      <c r="F83" s="274" t="s">
        <v>806</v>
      </c>
      <c r="G83" s="278">
        <v>0</v>
      </c>
      <c r="H83" s="271">
        <v>0</v>
      </c>
      <c r="I83" s="272">
        <v>5</v>
      </c>
      <c r="J83" s="276">
        <f t="shared" si="32"/>
        <v>5</v>
      </c>
    </row>
    <row r="84" spans="1:10" ht="14.95" thickBot="1" x14ac:dyDescent="0.3">
      <c r="A84" s="187" t="s">
        <v>4</v>
      </c>
      <c r="B84" s="185">
        <v>0</v>
      </c>
      <c r="C84" s="268">
        <v>1</v>
      </c>
      <c r="D84" s="220">
        <v>0</v>
      </c>
      <c r="E84" s="189">
        <f t="shared" si="31"/>
        <v>1</v>
      </c>
      <c r="F84" s="274" t="s">
        <v>208</v>
      </c>
      <c r="G84" s="278">
        <v>0</v>
      </c>
      <c r="H84" s="271">
        <v>5</v>
      </c>
      <c r="I84" s="272">
        <v>0</v>
      </c>
      <c r="J84" s="276">
        <f t="shared" si="32"/>
        <v>5</v>
      </c>
    </row>
    <row r="85" spans="1:10" ht="14.95" thickBot="1" x14ac:dyDescent="0.3">
      <c r="A85" s="187" t="s">
        <v>1071</v>
      </c>
      <c r="B85" s="185">
        <v>0</v>
      </c>
      <c r="C85" s="268">
        <v>0</v>
      </c>
      <c r="D85" s="220">
        <v>1</v>
      </c>
      <c r="E85" s="189">
        <f t="shared" si="31"/>
        <v>1</v>
      </c>
      <c r="F85" s="274" t="s">
        <v>427</v>
      </c>
      <c r="G85" s="278">
        <v>0</v>
      </c>
      <c r="H85" s="271">
        <v>0</v>
      </c>
      <c r="I85" s="272">
        <v>5</v>
      </c>
      <c r="J85" s="276">
        <f t="shared" si="32"/>
        <v>5</v>
      </c>
    </row>
    <row r="86" spans="1:10" ht="14.95" thickBot="1" x14ac:dyDescent="0.3">
      <c r="A86" s="187" t="s">
        <v>976</v>
      </c>
      <c r="B86" s="185">
        <v>1</v>
      </c>
      <c r="C86" s="268">
        <v>0</v>
      </c>
      <c r="D86" s="220">
        <v>0</v>
      </c>
      <c r="E86" s="189">
        <f t="shared" si="31"/>
        <v>1</v>
      </c>
      <c r="F86" s="274" t="s">
        <v>1071</v>
      </c>
      <c r="G86" s="278">
        <v>0</v>
      </c>
      <c r="H86" s="271">
        <v>0</v>
      </c>
      <c r="I86" s="272">
        <v>5</v>
      </c>
      <c r="J86" s="276">
        <f t="shared" si="32"/>
        <v>5</v>
      </c>
    </row>
    <row r="87" spans="1:10" ht="14.95" thickBot="1" x14ac:dyDescent="0.3">
      <c r="A87" s="187" t="s">
        <v>466</v>
      </c>
      <c r="B87" s="185">
        <v>0</v>
      </c>
      <c r="C87" s="268">
        <v>0</v>
      </c>
      <c r="D87" s="220">
        <v>0</v>
      </c>
      <c r="E87" s="189">
        <f t="shared" si="31"/>
        <v>0</v>
      </c>
      <c r="F87" s="274" t="s">
        <v>976</v>
      </c>
      <c r="G87" s="278">
        <v>5</v>
      </c>
      <c r="H87" s="271">
        <v>0</v>
      </c>
      <c r="I87" s="272">
        <v>0</v>
      </c>
      <c r="J87" s="276">
        <f t="shared" si="32"/>
        <v>5</v>
      </c>
    </row>
    <row r="88" spans="1:10" ht="14.95" thickBot="1" x14ac:dyDescent="0.3">
      <c r="A88" s="187" t="s">
        <v>504</v>
      </c>
      <c r="B88" s="185">
        <v>0</v>
      </c>
      <c r="C88" s="268">
        <v>0</v>
      </c>
      <c r="D88" s="220">
        <v>0</v>
      </c>
      <c r="E88" s="189">
        <f t="shared" si="31"/>
        <v>0</v>
      </c>
      <c r="F88" s="274" t="s">
        <v>918</v>
      </c>
      <c r="G88" s="278">
        <v>0</v>
      </c>
      <c r="H88" s="271">
        <v>0</v>
      </c>
      <c r="I88" s="272">
        <v>2</v>
      </c>
      <c r="J88" s="276">
        <f t="shared" si="32"/>
        <v>2</v>
      </c>
    </row>
    <row r="89" spans="1:10" ht="14.95" thickBot="1" x14ac:dyDescent="0.3">
      <c r="A89" s="187" t="s">
        <v>546</v>
      </c>
      <c r="B89" s="185">
        <v>0</v>
      </c>
      <c r="C89" s="268">
        <v>0</v>
      </c>
      <c r="D89" s="220">
        <v>0</v>
      </c>
      <c r="E89" s="189">
        <f t="shared" ref="E89:E120" si="33">SUM(B89:D89)</f>
        <v>0</v>
      </c>
      <c r="F89" s="274" t="s">
        <v>466</v>
      </c>
      <c r="G89" s="278">
        <v>0</v>
      </c>
      <c r="H89" s="271">
        <v>0</v>
      </c>
      <c r="I89" s="272">
        <v>0</v>
      </c>
      <c r="J89" s="276">
        <f t="shared" ref="J89:J120" si="34">SUM(G89:I89)</f>
        <v>0</v>
      </c>
    </row>
    <row r="90" spans="1:10" ht="14.95" thickBot="1" x14ac:dyDescent="0.3">
      <c r="A90" s="187" t="s">
        <v>414</v>
      </c>
      <c r="B90" s="185">
        <v>0</v>
      </c>
      <c r="C90" s="268">
        <v>0</v>
      </c>
      <c r="D90" s="220">
        <v>0</v>
      </c>
      <c r="E90" s="189">
        <f t="shared" si="33"/>
        <v>0</v>
      </c>
      <c r="F90" s="274" t="s">
        <v>504</v>
      </c>
      <c r="G90" s="278">
        <v>0</v>
      </c>
      <c r="H90" s="271">
        <v>0</v>
      </c>
      <c r="I90" s="272">
        <v>0</v>
      </c>
      <c r="J90" s="276">
        <f t="shared" si="34"/>
        <v>0</v>
      </c>
    </row>
    <row r="91" spans="1:10" ht="14.95" thickBot="1" x14ac:dyDescent="0.3">
      <c r="A91" s="187" t="s">
        <v>978</v>
      </c>
      <c r="B91" s="185">
        <v>0</v>
      </c>
      <c r="C91" s="268">
        <v>0</v>
      </c>
      <c r="D91" s="220">
        <v>0</v>
      </c>
      <c r="E91" s="189">
        <f t="shared" si="33"/>
        <v>0</v>
      </c>
      <c r="F91" s="274" t="s">
        <v>546</v>
      </c>
      <c r="G91" s="278">
        <v>0</v>
      </c>
      <c r="H91" s="271">
        <v>0</v>
      </c>
      <c r="I91" s="272">
        <v>0</v>
      </c>
      <c r="J91" s="276">
        <f t="shared" si="34"/>
        <v>0</v>
      </c>
    </row>
    <row r="92" spans="1:10" ht="14.95" thickBot="1" x14ac:dyDescent="0.3">
      <c r="A92" s="187" t="s">
        <v>855</v>
      </c>
      <c r="B92" s="185">
        <v>0</v>
      </c>
      <c r="C92" s="268">
        <v>0</v>
      </c>
      <c r="D92" s="220">
        <v>0</v>
      </c>
      <c r="E92" s="189">
        <f t="shared" si="33"/>
        <v>0</v>
      </c>
      <c r="F92" s="274" t="s">
        <v>414</v>
      </c>
      <c r="G92" s="278">
        <v>0</v>
      </c>
      <c r="H92" s="271">
        <v>0</v>
      </c>
      <c r="I92" s="272">
        <v>0</v>
      </c>
      <c r="J92" s="276">
        <f t="shared" si="34"/>
        <v>0</v>
      </c>
    </row>
    <row r="93" spans="1:10" ht="14.95" thickBot="1" x14ac:dyDescent="0.3">
      <c r="A93" s="187" t="s">
        <v>357</v>
      </c>
      <c r="B93" s="185">
        <v>0</v>
      </c>
      <c r="C93" s="268">
        <v>0</v>
      </c>
      <c r="D93" s="220">
        <v>0</v>
      </c>
      <c r="E93" s="189">
        <f t="shared" si="33"/>
        <v>0</v>
      </c>
      <c r="F93" s="274" t="s">
        <v>978</v>
      </c>
      <c r="G93" s="278">
        <v>0</v>
      </c>
      <c r="H93" s="271">
        <v>0</v>
      </c>
      <c r="I93" s="272">
        <v>0</v>
      </c>
      <c r="J93" s="276">
        <f t="shared" si="34"/>
        <v>0</v>
      </c>
    </row>
    <row r="94" spans="1:10" ht="14.95" thickBot="1" x14ac:dyDescent="0.3">
      <c r="A94" s="187" t="s">
        <v>918</v>
      </c>
      <c r="B94" s="185">
        <v>0</v>
      </c>
      <c r="C94" s="268">
        <v>0</v>
      </c>
      <c r="D94" s="220">
        <v>0</v>
      </c>
      <c r="E94" s="189">
        <f t="shared" si="33"/>
        <v>0</v>
      </c>
      <c r="F94" s="274" t="s">
        <v>855</v>
      </c>
      <c r="G94" s="278">
        <v>0</v>
      </c>
      <c r="H94" s="271">
        <v>0</v>
      </c>
      <c r="I94" s="272">
        <v>0</v>
      </c>
      <c r="J94" s="276">
        <f t="shared" si="34"/>
        <v>0</v>
      </c>
    </row>
    <row r="95" spans="1:10" ht="14.95" thickBot="1" x14ac:dyDescent="0.3">
      <c r="A95" s="187" t="s">
        <v>243</v>
      </c>
      <c r="B95" s="185">
        <v>0</v>
      </c>
      <c r="C95" s="268">
        <v>0</v>
      </c>
      <c r="D95" s="220">
        <v>0</v>
      </c>
      <c r="E95" s="189">
        <f t="shared" si="33"/>
        <v>0</v>
      </c>
      <c r="F95" s="274" t="s">
        <v>357</v>
      </c>
      <c r="G95" s="278">
        <v>0</v>
      </c>
      <c r="H95" s="271">
        <v>0</v>
      </c>
      <c r="I95" s="272">
        <v>0</v>
      </c>
      <c r="J95" s="276">
        <f t="shared" si="34"/>
        <v>0</v>
      </c>
    </row>
    <row r="96" spans="1:10" ht="14.95" thickBot="1" x14ac:dyDescent="0.3">
      <c r="A96" s="187" t="s">
        <v>668</v>
      </c>
      <c r="B96" s="185">
        <v>0</v>
      </c>
      <c r="C96" s="268">
        <v>0</v>
      </c>
      <c r="D96" s="220">
        <v>0</v>
      </c>
      <c r="E96" s="189">
        <f t="shared" si="33"/>
        <v>0</v>
      </c>
      <c r="F96" s="274" t="s">
        <v>243</v>
      </c>
      <c r="G96" s="278">
        <v>0</v>
      </c>
      <c r="H96" s="271">
        <v>0</v>
      </c>
      <c r="I96" s="272">
        <v>0</v>
      </c>
      <c r="J96" s="276">
        <f t="shared" si="34"/>
        <v>0</v>
      </c>
    </row>
    <row r="97" spans="1:10" ht="14.95" thickBot="1" x14ac:dyDescent="0.3">
      <c r="A97" s="187" t="s">
        <v>203</v>
      </c>
      <c r="B97" s="185">
        <v>0</v>
      </c>
      <c r="C97" s="268">
        <v>0</v>
      </c>
      <c r="D97" s="220">
        <v>0</v>
      </c>
      <c r="E97" s="189">
        <f t="shared" si="33"/>
        <v>0</v>
      </c>
      <c r="F97" s="274" t="s">
        <v>668</v>
      </c>
      <c r="G97" s="278">
        <v>0</v>
      </c>
      <c r="H97" s="271">
        <v>0</v>
      </c>
      <c r="I97" s="272">
        <v>0</v>
      </c>
      <c r="J97" s="276">
        <f t="shared" si="34"/>
        <v>0</v>
      </c>
    </row>
    <row r="98" spans="1:10" ht="14.95" thickBot="1" x14ac:dyDescent="0.3">
      <c r="A98" s="187" t="s">
        <v>438</v>
      </c>
      <c r="B98" s="185">
        <v>0</v>
      </c>
      <c r="C98" s="268">
        <v>0</v>
      </c>
      <c r="D98" s="220">
        <v>0</v>
      </c>
      <c r="E98" s="189">
        <f t="shared" si="33"/>
        <v>0</v>
      </c>
      <c r="F98" s="274" t="s">
        <v>203</v>
      </c>
      <c r="G98" s="278">
        <v>0</v>
      </c>
      <c r="H98" s="271">
        <v>0</v>
      </c>
      <c r="I98" s="272">
        <v>0</v>
      </c>
      <c r="J98" s="276">
        <f t="shared" si="34"/>
        <v>0</v>
      </c>
    </row>
    <row r="99" spans="1:10" ht="14.95" thickBot="1" x14ac:dyDescent="0.3">
      <c r="A99" s="187" t="s">
        <v>423</v>
      </c>
      <c r="B99" s="185">
        <v>0</v>
      </c>
      <c r="C99" s="268">
        <v>0</v>
      </c>
      <c r="D99" s="220">
        <v>0</v>
      </c>
      <c r="E99" s="189">
        <f t="shared" si="33"/>
        <v>0</v>
      </c>
      <c r="F99" s="274" t="s">
        <v>438</v>
      </c>
      <c r="G99" s="278">
        <v>0</v>
      </c>
      <c r="H99" s="271">
        <v>0</v>
      </c>
      <c r="I99" s="272">
        <v>0</v>
      </c>
      <c r="J99" s="276">
        <f t="shared" si="34"/>
        <v>0</v>
      </c>
    </row>
    <row r="100" spans="1:10" ht="14.95" thickBot="1" x14ac:dyDescent="0.3">
      <c r="A100" s="187" t="s">
        <v>974</v>
      </c>
      <c r="B100" s="185">
        <v>0</v>
      </c>
      <c r="C100" s="268">
        <v>0</v>
      </c>
      <c r="D100" s="220">
        <v>0</v>
      </c>
      <c r="E100" s="189">
        <f t="shared" si="33"/>
        <v>0</v>
      </c>
      <c r="F100" s="274" t="s">
        <v>423</v>
      </c>
      <c r="G100" s="278">
        <v>0</v>
      </c>
      <c r="H100" s="271">
        <v>0</v>
      </c>
      <c r="I100" s="272">
        <v>0</v>
      </c>
      <c r="J100" s="276">
        <f t="shared" si="34"/>
        <v>0</v>
      </c>
    </row>
    <row r="101" spans="1:10" ht="14.95" thickBot="1" x14ac:dyDescent="0.3">
      <c r="A101" s="187" t="s">
        <v>808</v>
      </c>
      <c r="B101" s="185">
        <v>0</v>
      </c>
      <c r="C101" s="268">
        <v>0</v>
      </c>
      <c r="D101" s="220">
        <v>0</v>
      </c>
      <c r="E101" s="189">
        <f t="shared" si="33"/>
        <v>0</v>
      </c>
      <c r="F101" s="274" t="s">
        <v>974</v>
      </c>
      <c r="G101" s="278">
        <v>0</v>
      </c>
      <c r="H101" s="271">
        <v>0</v>
      </c>
      <c r="I101" s="272">
        <v>0</v>
      </c>
      <c r="J101" s="276">
        <f t="shared" si="34"/>
        <v>0</v>
      </c>
    </row>
    <row r="102" spans="1:10" ht="14.95" thickBot="1" x14ac:dyDescent="0.3">
      <c r="A102" s="187" t="s">
        <v>426</v>
      </c>
      <c r="B102" s="185">
        <v>0</v>
      </c>
      <c r="C102" s="268">
        <v>0</v>
      </c>
      <c r="D102" s="220">
        <v>0</v>
      </c>
      <c r="E102" s="189">
        <f t="shared" si="33"/>
        <v>0</v>
      </c>
      <c r="F102" s="274" t="s">
        <v>808</v>
      </c>
      <c r="G102" s="278">
        <v>0</v>
      </c>
      <c r="H102" s="271">
        <v>0</v>
      </c>
      <c r="I102" s="272">
        <v>0</v>
      </c>
      <c r="J102" s="276">
        <f t="shared" si="34"/>
        <v>0</v>
      </c>
    </row>
    <row r="103" spans="1:10" ht="14.95" thickBot="1" x14ac:dyDescent="0.3">
      <c r="A103" s="187" t="s">
        <v>977</v>
      </c>
      <c r="B103" s="185">
        <v>0</v>
      </c>
      <c r="C103" s="268">
        <v>0</v>
      </c>
      <c r="D103" s="220">
        <v>0</v>
      </c>
      <c r="E103" s="189">
        <f t="shared" si="33"/>
        <v>0</v>
      </c>
      <c r="F103" s="274" t="s">
        <v>977</v>
      </c>
      <c r="G103" s="278">
        <v>0</v>
      </c>
      <c r="H103" s="271">
        <v>0</v>
      </c>
      <c r="I103" s="272">
        <v>0</v>
      </c>
      <c r="J103" s="276">
        <f t="shared" si="34"/>
        <v>0</v>
      </c>
    </row>
    <row r="104" spans="1:10" ht="14.95" thickBot="1" x14ac:dyDescent="0.3">
      <c r="A104" s="187" t="s">
        <v>874</v>
      </c>
      <c r="B104" s="185">
        <v>0</v>
      </c>
      <c r="C104" s="268">
        <v>0</v>
      </c>
      <c r="D104" s="220">
        <v>0</v>
      </c>
      <c r="E104" s="189">
        <f t="shared" si="33"/>
        <v>0</v>
      </c>
      <c r="F104" s="274" t="s">
        <v>874</v>
      </c>
      <c r="G104" s="278">
        <v>0</v>
      </c>
      <c r="H104" s="271">
        <v>0</v>
      </c>
      <c r="I104" s="272">
        <v>0</v>
      </c>
      <c r="J104" s="276">
        <f t="shared" si="34"/>
        <v>0</v>
      </c>
    </row>
    <row r="105" spans="1:10" ht="14.95" thickBot="1" x14ac:dyDescent="0.3">
      <c r="A105" s="187" t="s">
        <v>979</v>
      </c>
      <c r="B105" s="185">
        <v>0</v>
      </c>
      <c r="C105" s="268">
        <v>0</v>
      </c>
      <c r="D105" s="220">
        <v>0</v>
      </c>
      <c r="E105" s="189">
        <f t="shared" si="33"/>
        <v>0</v>
      </c>
      <c r="F105" s="274" t="s">
        <v>979</v>
      </c>
      <c r="G105" s="278">
        <v>0</v>
      </c>
      <c r="H105" s="271">
        <v>0</v>
      </c>
      <c r="I105" s="272">
        <v>0</v>
      </c>
      <c r="J105" s="276">
        <f t="shared" si="34"/>
        <v>0</v>
      </c>
    </row>
    <row r="106" spans="1:10" ht="14.95" thickBot="1" x14ac:dyDescent="0.3">
      <c r="A106" s="187" t="s">
        <v>5</v>
      </c>
      <c r="B106" s="185">
        <v>0</v>
      </c>
      <c r="C106" s="268">
        <v>0</v>
      </c>
      <c r="D106" s="220">
        <v>0</v>
      </c>
      <c r="E106" s="189">
        <f t="shared" si="33"/>
        <v>0</v>
      </c>
      <c r="F106" s="274" t="s">
        <v>5</v>
      </c>
      <c r="G106" s="278">
        <v>0</v>
      </c>
      <c r="H106" s="271">
        <v>0</v>
      </c>
      <c r="I106" s="272">
        <v>0</v>
      </c>
      <c r="J106" s="276">
        <f t="shared" si="34"/>
        <v>0</v>
      </c>
    </row>
    <row r="107" spans="1:10" ht="14.95" thickBot="1" x14ac:dyDescent="0.3">
      <c r="A107" s="187" t="s">
        <v>3</v>
      </c>
      <c r="B107" s="185">
        <f>SUM(B57:B106)</f>
        <v>25</v>
      </c>
      <c r="C107" s="268">
        <f>SUM(C57:C106)</f>
        <v>26</v>
      </c>
      <c r="D107" s="220">
        <f>SUM(D57:D106)</f>
        <v>11</v>
      </c>
      <c r="E107" s="189">
        <f t="shared" ref="E107" si="35">SUM(B107:D107)</f>
        <v>62</v>
      </c>
      <c r="F107" s="273" t="s">
        <v>3</v>
      </c>
      <c r="G107" s="277">
        <f>SUM(G57:G106)</f>
        <v>189</v>
      </c>
      <c r="H107" s="269">
        <f>SUM(H57:H106)</f>
        <v>184</v>
      </c>
      <c r="I107" s="272">
        <f>SUM(I57:I106)</f>
        <v>69</v>
      </c>
      <c r="J107" s="276">
        <f t="shared" ref="J107" si="36">SUM(G107:I107)</f>
        <v>442</v>
      </c>
    </row>
    <row r="108" spans="1:10" ht="16.3" x14ac:dyDescent="0.3">
      <c r="A108" s="431" t="s">
        <v>34</v>
      </c>
      <c r="B108" s="365"/>
      <c r="C108" s="365"/>
      <c r="D108" s="365"/>
      <c r="E108" s="365"/>
      <c r="F108" s="365"/>
      <c r="G108" s="365"/>
      <c r="H108" s="365"/>
      <c r="I108" s="365"/>
      <c r="J108" s="365"/>
    </row>
  </sheetData>
  <sortState xmlns:xlrd2="http://schemas.microsoft.com/office/spreadsheetml/2017/richdata2" ref="F57:J106">
    <sortCondition descending="1" ref="J57:J106"/>
  </sortState>
  <mergeCells count="60">
    <mergeCell ref="BC1:BE2"/>
    <mergeCell ref="R1:S2"/>
    <mergeCell ref="K11:K12"/>
    <mergeCell ref="AW11:AY12"/>
    <mergeCell ref="K1:K2"/>
    <mergeCell ref="L1:N2"/>
    <mergeCell ref="O1:Q2"/>
    <mergeCell ref="AZ1:BB2"/>
    <mergeCell ref="L11:N12"/>
    <mergeCell ref="AW1:AY2"/>
    <mergeCell ref="AZ11:BB12"/>
    <mergeCell ref="AT11:AV12"/>
    <mergeCell ref="AT1:AV2"/>
    <mergeCell ref="W1:Y2"/>
    <mergeCell ref="R11:T12"/>
    <mergeCell ref="AH1:AJ2"/>
    <mergeCell ref="AH11:AJ12"/>
    <mergeCell ref="AQ18:AS19"/>
    <mergeCell ref="AT18:AV19"/>
    <mergeCell ref="AW18:AY19"/>
    <mergeCell ref="AZ18:BB19"/>
    <mergeCell ref="AK1:AM2"/>
    <mergeCell ref="AK11:AM12"/>
    <mergeCell ref="AK18:AM19"/>
    <mergeCell ref="AQ1:AS2"/>
    <mergeCell ref="AN1:AP2"/>
    <mergeCell ref="AN11:AP12"/>
    <mergeCell ref="AN18:AP19"/>
    <mergeCell ref="AQ11:AS12"/>
    <mergeCell ref="A1:J1"/>
    <mergeCell ref="T1:V2"/>
    <mergeCell ref="O11:Q12"/>
    <mergeCell ref="O18:Q19"/>
    <mergeCell ref="AH18:AJ19"/>
    <mergeCell ref="AE1:AG2"/>
    <mergeCell ref="AE11:AG12"/>
    <mergeCell ref="AE18:AG19"/>
    <mergeCell ref="AB11:AD12"/>
    <mergeCell ref="AB18:AD19"/>
    <mergeCell ref="K18:K19"/>
    <mergeCell ref="L18:N19"/>
    <mergeCell ref="U18:W19"/>
    <mergeCell ref="U11:W12"/>
    <mergeCell ref="R18:T19"/>
    <mergeCell ref="AB1:AD2"/>
    <mergeCell ref="K34:W34"/>
    <mergeCell ref="AW24:AY25"/>
    <mergeCell ref="AT24:AV25"/>
    <mergeCell ref="AQ24:AS25"/>
    <mergeCell ref="K33:W33"/>
    <mergeCell ref="AN24:AP25"/>
    <mergeCell ref="AK24:AM25"/>
    <mergeCell ref="K24:K25"/>
    <mergeCell ref="L24:N25"/>
    <mergeCell ref="U24:W25"/>
    <mergeCell ref="R24:T25"/>
    <mergeCell ref="O24:Q25"/>
    <mergeCell ref="AH24:AJ25"/>
    <mergeCell ref="AE24:AG25"/>
    <mergeCell ref="AB24:AD25"/>
  </mergeCells>
  <pageMargins left="0.7" right="0.7" top="0.75" bottom="0.75" header="0.3" footer="0.3"/>
  <pageSetup paperSize="9" orientation="portrait" r:id="rId1"/>
  <ignoredErrors>
    <ignoredError sqref="E47 J4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6"/>
  <sheetViews>
    <sheetView workbookViewId="0">
      <selection activeCell="P17" sqref="P17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60" width="5.625" customWidth="1"/>
  </cols>
  <sheetData>
    <row r="1" spans="1:67" ht="16.149999999999999" customHeight="1" thickBot="1" x14ac:dyDescent="0.3">
      <c r="A1" s="542" t="s">
        <v>920</v>
      </c>
      <c r="B1" s="543"/>
      <c r="C1" s="543"/>
      <c r="D1" s="543"/>
      <c r="E1" s="543"/>
      <c r="F1" s="543"/>
      <c r="G1" s="543"/>
      <c r="H1" s="543"/>
      <c r="I1" s="543"/>
      <c r="J1" s="544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94"/>
      <c r="AB1" s="457" t="s">
        <v>601</v>
      </c>
      <c r="AC1" s="458"/>
      <c r="AD1" s="459"/>
      <c r="AE1" s="457" t="s">
        <v>494</v>
      </c>
      <c r="AF1" s="458"/>
      <c r="AG1" s="459"/>
      <c r="AH1" s="457" t="s">
        <v>407</v>
      </c>
      <c r="AI1" s="458"/>
      <c r="AJ1" s="459"/>
      <c r="AK1" s="457" t="s">
        <v>313</v>
      </c>
      <c r="AL1" s="458"/>
      <c r="AM1" s="459"/>
      <c r="AN1" s="457" t="s">
        <v>227</v>
      </c>
      <c r="AO1" s="458"/>
      <c r="AP1" s="459"/>
      <c r="AQ1" s="457" t="s">
        <v>172</v>
      </c>
      <c r="AR1" s="458"/>
      <c r="AS1" s="459"/>
      <c r="AT1" s="457" t="s">
        <v>79</v>
      </c>
      <c r="AU1" s="458"/>
      <c r="AV1" s="459"/>
      <c r="AW1" s="457" t="s">
        <v>54</v>
      </c>
      <c r="AX1" s="458"/>
      <c r="AY1" s="459"/>
      <c r="AZ1" s="457" t="s">
        <v>50</v>
      </c>
      <c r="BA1" s="458"/>
      <c r="BB1" s="459"/>
      <c r="BC1" s="457" t="s">
        <v>41</v>
      </c>
      <c r="BD1" s="458"/>
      <c r="BE1" s="459"/>
      <c r="BF1" s="457" t="s">
        <v>45</v>
      </c>
      <c r="BG1" s="458"/>
      <c r="BH1" s="459"/>
      <c r="BJ1" s="4"/>
      <c r="BK1" s="4"/>
      <c r="BL1" s="4"/>
      <c r="BO1" s="4"/>
    </row>
    <row r="2" spans="1:67" ht="14.95" customHeight="1" thickBot="1" x14ac:dyDescent="0.3">
      <c r="A2" s="403" t="s">
        <v>0</v>
      </c>
      <c r="B2" s="404" t="s">
        <v>226</v>
      </c>
      <c r="C2" s="405" t="s">
        <v>30</v>
      </c>
      <c r="D2" s="406" t="s">
        <v>339</v>
      </c>
      <c r="E2" s="407" t="s">
        <v>1</v>
      </c>
      <c r="F2" s="165" t="s">
        <v>2</v>
      </c>
      <c r="G2" s="141" t="s">
        <v>226</v>
      </c>
      <c r="H2" s="279" t="s">
        <v>30</v>
      </c>
      <c r="I2" s="414" t="s">
        <v>339</v>
      </c>
      <c r="J2" s="168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93"/>
      <c r="AA2" s="94"/>
      <c r="AB2" s="460"/>
      <c r="AC2" s="461"/>
      <c r="AD2" s="462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  <c r="BF2" s="460"/>
      <c r="BG2" s="461"/>
      <c r="BH2" s="462"/>
    </row>
    <row r="3" spans="1:67" ht="14.95" customHeight="1" thickBot="1" x14ac:dyDescent="0.3">
      <c r="A3" s="408" t="s">
        <v>681</v>
      </c>
      <c r="B3" s="409">
        <v>0</v>
      </c>
      <c r="C3" s="410">
        <v>0</v>
      </c>
      <c r="D3" s="411">
        <v>1</v>
      </c>
      <c r="E3" s="412">
        <f t="shared" ref="E3:E52" si="0">SUM(B3:D3)</f>
        <v>1</v>
      </c>
      <c r="F3" s="166" t="s">
        <v>681</v>
      </c>
      <c r="G3" s="142">
        <v>0</v>
      </c>
      <c r="H3" s="280">
        <v>0</v>
      </c>
      <c r="I3" s="415">
        <v>5</v>
      </c>
      <c r="J3" s="169">
        <f t="shared" ref="J3:J52" si="1">SUM(G3:I3)</f>
        <v>5</v>
      </c>
      <c r="K3" s="434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408" t="s">
        <v>292</v>
      </c>
      <c r="B4" s="409">
        <v>1</v>
      </c>
      <c r="C4" s="410">
        <v>0</v>
      </c>
      <c r="D4" s="411">
        <v>0</v>
      </c>
      <c r="E4" s="412">
        <f t="shared" ref="E4:E5" si="2">SUM(B4:D4)</f>
        <v>1</v>
      </c>
      <c r="F4" s="166" t="s">
        <v>292</v>
      </c>
      <c r="G4" s="142">
        <v>13</v>
      </c>
      <c r="H4" s="280">
        <v>0</v>
      </c>
      <c r="I4" s="415">
        <v>5</v>
      </c>
      <c r="J4" s="169">
        <f t="shared" ref="J4:J5" si="3">SUM(G4:I4)</f>
        <v>18</v>
      </c>
      <c r="K4" s="408" t="s">
        <v>993</v>
      </c>
      <c r="L4" s="412">
        <v>4</v>
      </c>
      <c r="M4" s="412">
        <v>8</v>
      </c>
      <c r="N4" s="413">
        <f t="shared" ref="N4:N6" si="4">SUM(L4/M4)*100</f>
        <v>50</v>
      </c>
      <c r="O4" s="412" t="s">
        <v>15</v>
      </c>
      <c r="P4" s="412" t="s">
        <v>15</v>
      </c>
      <c r="Q4" s="413" t="s">
        <v>15</v>
      </c>
      <c r="R4" s="412">
        <v>-1</v>
      </c>
      <c r="S4" s="412">
        <v>-1</v>
      </c>
      <c r="T4" s="7">
        <v>3</v>
      </c>
      <c r="U4" s="7">
        <v>4</v>
      </c>
      <c r="V4" s="153">
        <v>75</v>
      </c>
      <c r="W4" s="7">
        <v>4</v>
      </c>
      <c r="X4" s="7">
        <v>8</v>
      </c>
      <c r="Y4" s="153">
        <v>50</v>
      </c>
      <c r="Z4" s="94"/>
      <c r="AA4" s="94"/>
      <c r="AB4" s="6">
        <v>20</v>
      </c>
      <c r="AC4" s="7">
        <v>30</v>
      </c>
      <c r="AD4" s="153">
        <v>66.666666666666657</v>
      </c>
      <c r="AE4" s="7">
        <v>41</v>
      </c>
      <c r="AF4" s="7">
        <v>53</v>
      </c>
      <c r="AG4" s="153">
        <v>77.358490566037744</v>
      </c>
      <c r="AH4" s="7">
        <v>5</v>
      </c>
      <c r="AI4" s="7">
        <v>6</v>
      </c>
      <c r="AJ4" s="153">
        <v>83.333333333333343</v>
      </c>
      <c r="AK4" s="7" t="s">
        <v>15</v>
      </c>
      <c r="AL4" s="7" t="s">
        <v>15</v>
      </c>
      <c r="AM4" s="153" t="s">
        <v>15</v>
      </c>
      <c r="AN4" s="7" t="s">
        <v>15</v>
      </c>
      <c r="AO4" s="7" t="s">
        <v>15</v>
      </c>
      <c r="AP4" s="153" t="s">
        <v>15</v>
      </c>
      <c r="AQ4" s="7" t="s">
        <v>15</v>
      </c>
      <c r="AR4" s="7" t="s">
        <v>15</v>
      </c>
      <c r="AS4" s="153" t="s">
        <v>15</v>
      </c>
      <c r="AT4" s="7" t="s">
        <v>15</v>
      </c>
      <c r="AU4" s="7" t="s">
        <v>15</v>
      </c>
      <c r="AV4" s="153" t="s">
        <v>15</v>
      </c>
      <c r="AW4" s="7" t="s">
        <v>15</v>
      </c>
      <c r="AX4" s="7" t="s">
        <v>15</v>
      </c>
      <c r="AY4" s="153" t="s">
        <v>15</v>
      </c>
      <c r="AZ4" s="7" t="s">
        <v>15</v>
      </c>
      <c r="BA4" s="7" t="s">
        <v>15</v>
      </c>
      <c r="BB4" s="153" t="s">
        <v>15</v>
      </c>
      <c r="BC4" s="7" t="s">
        <v>15</v>
      </c>
      <c r="BD4" s="7" t="s">
        <v>15</v>
      </c>
      <c r="BE4" s="153" t="s">
        <v>15</v>
      </c>
      <c r="BF4" s="7" t="s">
        <v>15</v>
      </c>
      <c r="BG4" s="7" t="s">
        <v>15</v>
      </c>
      <c r="BH4" s="153" t="s">
        <v>15</v>
      </c>
    </row>
    <row r="5" spans="1:67" ht="14.95" customHeight="1" thickBot="1" x14ac:dyDescent="0.3">
      <c r="A5" s="408" t="s">
        <v>248</v>
      </c>
      <c r="B5" s="409">
        <v>0</v>
      </c>
      <c r="C5" s="410">
        <v>1</v>
      </c>
      <c r="D5" s="411">
        <v>2</v>
      </c>
      <c r="E5" s="412">
        <f t="shared" si="2"/>
        <v>3</v>
      </c>
      <c r="F5" s="166" t="s">
        <v>248</v>
      </c>
      <c r="G5" s="142">
        <v>0</v>
      </c>
      <c r="H5" s="280">
        <v>5</v>
      </c>
      <c r="I5" s="415">
        <v>10</v>
      </c>
      <c r="J5" s="169">
        <f t="shared" si="3"/>
        <v>15</v>
      </c>
      <c r="K5" s="408" t="s">
        <v>986</v>
      </c>
      <c r="L5" s="412">
        <v>7</v>
      </c>
      <c r="M5" s="412">
        <v>9</v>
      </c>
      <c r="N5" s="413">
        <f t="shared" ref="N5" si="5">SUM(L5/M5)*100</f>
        <v>77.777777777777786</v>
      </c>
      <c r="O5" s="412" t="s">
        <v>15</v>
      </c>
      <c r="P5" s="412" t="s">
        <v>15</v>
      </c>
      <c r="Q5" s="413" t="s">
        <v>15</v>
      </c>
      <c r="R5" s="412">
        <v>4</v>
      </c>
      <c r="S5" s="412">
        <v>4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4"/>
      <c r="AA5" s="94"/>
      <c r="AB5" s="6" t="s">
        <v>15</v>
      </c>
      <c r="AC5" s="7" t="s">
        <v>15</v>
      </c>
      <c r="AD5" s="153" t="s">
        <v>15</v>
      </c>
      <c r="AE5" s="7" t="s">
        <v>15</v>
      </c>
      <c r="AF5" s="7" t="s">
        <v>15</v>
      </c>
      <c r="AG5" s="153" t="s">
        <v>15</v>
      </c>
      <c r="AH5" s="7" t="s">
        <v>15</v>
      </c>
      <c r="AI5" s="7" t="s">
        <v>15</v>
      </c>
      <c r="AJ5" s="153" t="s">
        <v>15</v>
      </c>
      <c r="AK5" s="7" t="s">
        <v>15</v>
      </c>
      <c r="AL5" s="7" t="s">
        <v>15</v>
      </c>
      <c r="AM5" s="153" t="s">
        <v>15</v>
      </c>
      <c r="AN5" s="7" t="s">
        <v>15</v>
      </c>
      <c r="AO5" s="7" t="s">
        <v>15</v>
      </c>
      <c r="AP5" s="153" t="s">
        <v>15</v>
      </c>
      <c r="AQ5" s="7" t="s">
        <v>15</v>
      </c>
      <c r="AR5" s="7" t="s">
        <v>15</v>
      </c>
      <c r="AS5" s="153" t="s">
        <v>15</v>
      </c>
      <c r="AT5" s="7" t="s">
        <v>15</v>
      </c>
      <c r="AU5" s="7" t="s">
        <v>15</v>
      </c>
      <c r="AV5" s="153" t="s">
        <v>15</v>
      </c>
      <c r="AW5" s="7" t="s">
        <v>15</v>
      </c>
      <c r="AX5" s="7" t="s">
        <v>15</v>
      </c>
      <c r="AY5" s="153" t="s">
        <v>15</v>
      </c>
      <c r="AZ5" s="7" t="s">
        <v>15</v>
      </c>
      <c r="BA5" s="7" t="s">
        <v>15</v>
      </c>
      <c r="BB5" s="153" t="s">
        <v>15</v>
      </c>
      <c r="BC5" s="7">
        <v>36</v>
      </c>
      <c r="BD5" s="7">
        <v>55</v>
      </c>
      <c r="BE5" s="153">
        <v>65.454545454545453</v>
      </c>
      <c r="BF5" s="7" t="s">
        <v>15</v>
      </c>
      <c r="BG5" s="7" t="s">
        <v>15</v>
      </c>
      <c r="BH5" s="153" t="s">
        <v>15</v>
      </c>
    </row>
    <row r="6" spans="1:67" ht="14.95" customHeight="1" thickBot="1" x14ac:dyDescent="0.3">
      <c r="A6" s="408" t="s">
        <v>876</v>
      </c>
      <c r="B6" s="409">
        <v>0</v>
      </c>
      <c r="C6" s="410">
        <v>0</v>
      </c>
      <c r="D6" s="411">
        <v>0</v>
      </c>
      <c r="E6" s="412">
        <f t="shared" si="0"/>
        <v>0</v>
      </c>
      <c r="F6" s="166" t="s">
        <v>876</v>
      </c>
      <c r="G6" s="142">
        <v>0</v>
      </c>
      <c r="H6" s="280">
        <v>0</v>
      </c>
      <c r="I6" s="415">
        <v>0</v>
      </c>
      <c r="J6" s="169">
        <f t="shared" si="1"/>
        <v>0</v>
      </c>
      <c r="K6" s="408" t="s">
        <v>923</v>
      </c>
      <c r="L6" s="412">
        <v>26</v>
      </c>
      <c r="M6" s="412">
        <v>29</v>
      </c>
      <c r="N6" s="413">
        <f t="shared" si="4"/>
        <v>89.65517241379311</v>
      </c>
      <c r="O6" s="412">
        <v>3</v>
      </c>
      <c r="P6" s="412">
        <v>5</v>
      </c>
      <c r="Q6" s="413">
        <f t="shared" ref="Q6" si="6">SUM(O6/P6)*100</f>
        <v>60</v>
      </c>
      <c r="R6" s="412">
        <v>8</v>
      </c>
      <c r="S6" s="412">
        <v>-1</v>
      </c>
      <c r="T6" s="7" t="s">
        <v>15</v>
      </c>
      <c r="U6" s="7" t="s">
        <v>15</v>
      </c>
      <c r="V6" s="153" t="s">
        <v>15</v>
      </c>
      <c r="W6" s="7" t="s">
        <v>15</v>
      </c>
      <c r="X6" s="7" t="s">
        <v>15</v>
      </c>
      <c r="Y6" s="153" t="s">
        <v>15</v>
      </c>
      <c r="Z6" s="94"/>
      <c r="AA6" s="94"/>
      <c r="AB6" s="148">
        <v>9</v>
      </c>
      <c r="AC6" s="7">
        <v>10</v>
      </c>
      <c r="AD6" s="153">
        <v>87.5</v>
      </c>
      <c r="AE6" s="7">
        <v>11</v>
      </c>
      <c r="AF6" s="7">
        <v>20</v>
      </c>
      <c r="AG6" s="153">
        <v>55.000000000000007</v>
      </c>
      <c r="AH6" s="7">
        <v>23</v>
      </c>
      <c r="AI6" s="7">
        <v>31</v>
      </c>
      <c r="AJ6" s="153">
        <v>74.193548387096769</v>
      </c>
      <c r="AK6" s="84">
        <v>8</v>
      </c>
      <c r="AL6" s="79">
        <v>13</v>
      </c>
      <c r="AM6" s="171">
        <v>61.53846153846154</v>
      </c>
      <c r="AN6" s="148">
        <v>17</v>
      </c>
      <c r="AO6" s="7">
        <v>22</v>
      </c>
      <c r="AP6" s="7">
        <v>77</v>
      </c>
      <c r="AQ6" s="6" t="s">
        <v>15</v>
      </c>
      <c r="AR6" s="7" t="s">
        <v>15</v>
      </c>
      <c r="AS6" s="7" t="s">
        <v>15</v>
      </c>
      <c r="AT6" s="7">
        <v>10</v>
      </c>
      <c r="AU6" s="7">
        <v>11</v>
      </c>
      <c r="AV6" s="7">
        <v>91</v>
      </c>
      <c r="AW6" s="7" t="s">
        <v>15</v>
      </c>
      <c r="AX6" s="7" t="s">
        <v>15</v>
      </c>
      <c r="AY6" s="153" t="s">
        <v>15</v>
      </c>
      <c r="AZ6" s="7" t="s">
        <v>15</v>
      </c>
      <c r="BA6" s="7" t="s">
        <v>15</v>
      </c>
      <c r="BB6" s="153" t="s">
        <v>15</v>
      </c>
      <c r="BC6" s="7" t="s">
        <v>15</v>
      </c>
      <c r="BD6" s="7" t="s">
        <v>15</v>
      </c>
      <c r="BE6" s="153" t="s">
        <v>15</v>
      </c>
      <c r="BF6" s="7" t="s">
        <v>15</v>
      </c>
      <c r="BG6" s="7" t="s">
        <v>15</v>
      </c>
      <c r="BH6" s="153" t="s">
        <v>15</v>
      </c>
    </row>
    <row r="7" spans="1:67" ht="14.95" customHeight="1" thickBot="1" x14ac:dyDescent="0.3">
      <c r="A7" s="408" t="s">
        <v>420</v>
      </c>
      <c r="B7" s="409">
        <v>0</v>
      </c>
      <c r="C7" s="410">
        <v>0</v>
      </c>
      <c r="D7" s="411">
        <v>0</v>
      </c>
      <c r="E7" s="412">
        <f t="shared" si="0"/>
        <v>0</v>
      </c>
      <c r="F7" s="166" t="s">
        <v>420</v>
      </c>
      <c r="G7" s="142">
        <v>0</v>
      </c>
      <c r="H7" s="280">
        <v>0</v>
      </c>
      <c r="I7" s="415">
        <v>0</v>
      </c>
      <c r="J7" s="169">
        <f t="shared" si="1"/>
        <v>0</v>
      </c>
      <c r="K7" s="408" t="s">
        <v>200</v>
      </c>
      <c r="L7" s="412" t="s">
        <v>15</v>
      </c>
      <c r="M7" s="412" t="s">
        <v>15</v>
      </c>
      <c r="N7" s="413" t="s">
        <v>15</v>
      </c>
      <c r="O7" s="412" t="s">
        <v>15</v>
      </c>
      <c r="P7" s="412" t="s">
        <v>15</v>
      </c>
      <c r="Q7" s="413" t="s">
        <v>15</v>
      </c>
      <c r="R7" s="412">
        <v>-1</v>
      </c>
      <c r="S7" s="412">
        <v>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4"/>
      <c r="AA7" s="94"/>
      <c r="AB7" s="148" t="s">
        <v>15</v>
      </c>
      <c r="AC7" s="7" t="s">
        <v>15</v>
      </c>
      <c r="AD7" s="153" t="s">
        <v>15</v>
      </c>
      <c r="AE7" s="148">
        <v>0</v>
      </c>
      <c r="AF7" s="7">
        <v>1</v>
      </c>
      <c r="AG7" s="153">
        <f t="shared" ref="AG7" si="7">SUM(AE7/AF7)*100</f>
        <v>0</v>
      </c>
      <c r="AH7" s="148" t="s">
        <v>15</v>
      </c>
      <c r="AI7" s="7" t="s">
        <v>15</v>
      </c>
      <c r="AJ7" s="153" t="s">
        <v>15</v>
      </c>
      <c r="AK7" s="148">
        <v>1</v>
      </c>
      <c r="AL7" s="7">
        <v>1</v>
      </c>
      <c r="AM7" s="153">
        <f>(AK7/AL7)*100</f>
        <v>100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t="s">
        <v>21</v>
      </c>
    </row>
    <row r="8" spans="1:67" ht="14.95" customHeight="1" thickBot="1" x14ac:dyDescent="0.3">
      <c r="A8" s="408" t="s">
        <v>290</v>
      </c>
      <c r="B8" s="409">
        <v>1</v>
      </c>
      <c r="C8" s="410">
        <v>1</v>
      </c>
      <c r="D8" s="411">
        <v>0</v>
      </c>
      <c r="E8" s="412">
        <f t="shared" si="0"/>
        <v>2</v>
      </c>
      <c r="F8" s="166" t="s">
        <v>290</v>
      </c>
      <c r="G8" s="142">
        <v>5</v>
      </c>
      <c r="H8" s="280">
        <v>5</v>
      </c>
      <c r="I8" s="415">
        <v>0</v>
      </c>
      <c r="J8" s="169">
        <f t="shared" si="1"/>
        <v>10</v>
      </c>
      <c r="K8" s="408" t="s">
        <v>822</v>
      </c>
      <c r="L8" s="412" t="s">
        <v>15</v>
      </c>
      <c r="M8" s="412" t="s">
        <v>15</v>
      </c>
      <c r="N8" s="413" t="s">
        <v>15</v>
      </c>
      <c r="O8" s="412" t="s">
        <v>15</v>
      </c>
      <c r="P8" s="412" t="s">
        <v>15</v>
      </c>
      <c r="Q8" s="413" t="s">
        <v>15</v>
      </c>
      <c r="R8" s="412" t="s">
        <v>19</v>
      </c>
      <c r="S8" s="412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408" t="s">
        <v>264</v>
      </c>
      <c r="B9" s="409">
        <v>0</v>
      </c>
      <c r="C9" s="410">
        <v>0</v>
      </c>
      <c r="D9" s="411">
        <v>1</v>
      </c>
      <c r="E9" s="412">
        <f t="shared" si="0"/>
        <v>1</v>
      </c>
      <c r="F9" s="166" t="s">
        <v>264</v>
      </c>
      <c r="G9" s="142">
        <v>0</v>
      </c>
      <c r="H9" s="280">
        <v>0</v>
      </c>
      <c r="I9" s="415">
        <v>5</v>
      </c>
      <c r="J9" s="169">
        <f t="shared" si="1"/>
        <v>5</v>
      </c>
      <c r="K9" s="408" t="s">
        <v>922</v>
      </c>
      <c r="L9" s="412" t="s">
        <v>15</v>
      </c>
      <c r="M9" s="412" t="s">
        <v>15</v>
      </c>
      <c r="N9" s="413" t="s">
        <v>15</v>
      </c>
      <c r="O9" s="412" t="s">
        <v>15</v>
      </c>
      <c r="P9" s="412" t="s">
        <v>15</v>
      </c>
      <c r="Q9" s="413" t="s">
        <v>15</v>
      </c>
      <c r="R9" s="412" t="s">
        <v>19</v>
      </c>
      <c r="S9" s="412">
        <v>4</v>
      </c>
      <c r="T9" s="7" t="s">
        <v>15</v>
      </c>
      <c r="U9" s="7" t="s">
        <v>15</v>
      </c>
      <c r="V9" s="153" t="s">
        <v>15</v>
      </c>
      <c r="W9" s="7" t="s">
        <v>15</v>
      </c>
      <c r="X9" s="7" t="s">
        <v>15</v>
      </c>
      <c r="Y9" s="153" t="s">
        <v>15</v>
      </c>
      <c r="Z9" s="94"/>
      <c r="AA9" s="94"/>
      <c r="AB9" s="6" t="s">
        <v>15</v>
      </c>
      <c r="AC9" s="7" t="s">
        <v>15</v>
      </c>
      <c r="AD9" s="153" t="s">
        <v>15</v>
      </c>
      <c r="AE9" s="7" t="s">
        <v>15</v>
      </c>
      <c r="AF9" s="7" t="s">
        <v>15</v>
      </c>
      <c r="AG9" s="153" t="s">
        <v>15</v>
      </c>
      <c r="AH9" s="7" t="s">
        <v>15</v>
      </c>
      <c r="AI9" s="7" t="s">
        <v>15</v>
      </c>
      <c r="AJ9" s="153" t="s">
        <v>15</v>
      </c>
      <c r="AK9" s="7" t="s">
        <v>15</v>
      </c>
      <c r="AL9" s="7" t="s">
        <v>15</v>
      </c>
      <c r="AM9" s="153" t="s">
        <v>15</v>
      </c>
      <c r="AN9" s="7" t="s">
        <v>15</v>
      </c>
      <c r="AO9" s="7" t="s">
        <v>15</v>
      </c>
      <c r="AP9" s="153" t="s">
        <v>15</v>
      </c>
      <c r="AQ9" s="7" t="s">
        <v>15</v>
      </c>
      <c r="AR9" s="7" t="s">
        <v>15</v>
      </c>
      <c r="AS9" s="153" t="s">
        <v>15</v>
      </c>
      <c r="AT9" s="7" t="s">
        <v>15</v>
      </c>
      <c r="AU9" s="7" t="s">
        <v>15</v>
      </c>
      <c r="AV9" s="153" t="s">
        <v>15</v>
      </c>
      <c r="AW9" s="7" t="s">
        <v>15</v>
      </c>
      <c r="AX9" s="7" t="s">
        <v>15</v>
      </c>
      <c r="AY9" s="153" t="s">
        <v>15</v>
      </c>
      <c r="AZ9" s="7" t="s">
        <v>15</v>
      </c>
      <c r="BA9" s="7" t="s">
        <v>15</v>
      </c>
      <c r="BB9" s="153" t="s">
        <v>15</v>
      </c>
      <c r="BC9" s="7" t="s">
        <v>15</v>
      </c>
      <c r="BD9" s="7" t="s">
        <v>15</v>
      </c>
      <c r="BE9" s="153" t="s">
        <v>15</v>
      </c>
      <c r="BF9" s="7" t="s">
        <v>15</v>
      </c>
      <c r="BG9" s="7" t="s">
        <v>15</v>
      </c>
      <c r="BH9" s="153" t="s">
        <v>15</v>
      </c>
    </row>
    <row r="10" spans="1:67" ht="14.95" customHeight="1" thickBot="1" x14ac:dyDescent="0.3">
      <c r="A10" s="408" t="s">
        <v>376</v>
      </c>
      <c r="B10" s="409">
        <v>2</v>
      </c>
      <c r="C10" s="410">
        <v>0</v>
      </c>
      <c r="D10" s="411">
        <v>0</v>
      </c>
      <c r="E10" s="412">
        <f t="shared" si="0"/>
        <v>2</v>
      </c>
      <c r="F10" s="166" t="s">
        <v>376</v>
      </c>
      <c r="G10" s="142">
        <v>10</v>
      </c>
      <c r="H10" s="280">
        <v>0</v>
      </c>
      <c r="I10" s="415">
        <v>0</v>
      </c>
      <c r="J10" s="169">
        <f t="shared" si="1"/>
        <v>10</v>
      </c>
      <c r="K10" s="408" t="s">
        <v>307</v>
      </c>
      <c r="L10" s="412" t="s">
        <v>15</v>
      </c>
      <c r="M10" s="412" t="s">
        <v>15</v>
      </c>
      <c r="N10" s="413" t="s">
        <v>15</v>
      </c>
      <c r="O10" s="412" t="s">
        <v>15</v>
      </c>
      <c r="P10" s="412" t="s">
        <v>15</v>
      </c>
      <c r="Q10" s="413" t="s">
        <v>15</v>
      </c>
      <c r="R10" s="412">
        <v>1</v>
      </c>
      <c r="S10" s="412">
        <v>3</v>
      </c>
      <c r="T10" s="7" t="s">
        <v>15</v>
      </c>
      <c r="U10" s="7" t="s">
        <v>15</v>
      </c>
      <c r="V10" s="153" t="s">
        <v>15</v>
      </c>
      <c r="W10" s="7" t="s">
        <v>15</v>
      </c>
      <c r="X10" s="7" t="s">
        <v>15</v>
      </c>
      <c r="Y10" s="153" t="s">
        <v>15</v>
      </c>
      <c r="Z10" s="94"/>
      <c r="AA10" s="94"/>
      <c r="AB10" s="148" t="s">
        <v>15</v>
      </c>
      <c r="AC10" s="7" t="s">
        <v>15</v>
      </c>
      <c r="AD10" s="153" t="s">
        <v>15</v>
      </c>
      <c r="AE10" s="6">
        <v>9</v>
      </c>
      <c r="AF10" s="7">
        <v>10</v>
      </c>
      <c r="AG10" s="153">
        <v>90</v>
      </c>
      <c r="AH10" s="7" t="s">
        <v>15</v>
      </c>
      <c r="AI10" s="7" t="s">
        <v>15</v>
      </c>
      <c r="AJ10" s="153" t="s">
        <v>15</v>
      </c>
      <c r="AK10" s="7" t="s">
        <v>15</v>
      </c>
      <c r="AL10" s="7" t="s">
        <v>15</v>
      </c>
      <c r="AM10" s="153" t="s">
        <v>15</v>
      </c>
      <c r="AN10" s="7">
        <v>10</v>
      </c>
      <c r="AO10" s="7">
        <v>10</v>
      </c>
      <c r="AP10" s="153">
        <v>100</v>
      </c>
      <c r="AQ10" s="7" t="s">
        <v>15</v>
      </c>
      <c r="AR10" s="7" t="s">
        <v>15</v>
      </c>
      <c r="AS10" s="153" t="s">
        <v>15</v>
      </c>
      <c r="AT10" s="7" t="s">
        <v>15</v>
      </c>
      <c r="AU10" s="7" t="s">
        <v>15</v>
      </c>
      <c r="AV10" s="153" t="s">
        <v>15</v>
      </c>
      <c r="AW10" s="7" t="s">
        <v>15</v>
      </c>
      <c r="AX10" s="7" t="s">
        <v>15</v>
      </c>
      <c r="AY10" s="153" t="s">
        <v>15</v>
      </c>
      <c r="AZ10" s="7" t="s">
        <v>15</v>
      </c>
      <c r="BA10" s="7" t="s">
        <v>15</v>
      </c>
      <c r="BB10" s="153" t="s">
        <v>15</v>
      </c>
      <c r="BC10" s="7" t="s">
        <v>15</v>
      </c>
      <c r="BD10" s="7" t="s">
        <v>15</v>
      </c>
      <c r="BE10" s="153" t="s">
        <v>15</v>
      </c>
      <c r="BF10" s="7" t="s">
        <v>15</v>
      </c>
      <c r="BG10" s="7" t="s">
        <v>15</v>
      </c>
      <c r="BH10" s="153" t="s">
        <v>15</v>
      </c>
    </row>
    <row r="11" spans="1:67" ht="14.95" customHeight="1" thickBot="1" x14ac:dyDescent="0.3">
      <c r="A11" s="408" t="s">
        <v>991</v>
      </c>
      <c r="B11" s="409">
        <v>0</v>
      </c>
      <c r="C11" s="410">
        <v>0</v>
      </c>
      <c r="D11" s="411">
        <v>1</v>
      </c>
      <c r="E11" s="412">
        <f t="shared" si="0"/>
        <v>1</v>
      </c>
      <c r="F11" s="166" t="s">
        <v>991</v>
      </c>
      <c r="G11" s="142">
        <v>0</v>
      </c>
      <c r="H11" s="280">
        <v>0</v>
      </c>
      <c r="I11" s="415">
        <v>5</v>
      </c>
      <c r="J11" s="169">
        <f t="shared" si="1"/>
        <v>5</v>
      </c>
      <c r="K11" s="408" t="s">
        <v>63</v>
      </c>
      <c r="L11" s="412">
        <v>0</v>
      </c>
      <c r="M11" s="412">
        <v>1</v>
      </c>
      <c r="N11" s="413">
        <f t="shared" ref="N11" si="8">SUM(L11/M11)*100</f>
        <v>0</v>
      </c>
      <c r="O11" s="412" t="s">
        <v>15</v>
      </c>
      <c r="P11" s="412" t="s">
        <v>15</v>
      </c>
      <c r="Q11" s="413" t="s">
        <v>15</v>
      </c>
      <c r="R11" s="412">
        <v>-1</v>
      </c>
      <c r="S11" s="412">
        <v>1</v>
      </c>
      <c r="T11" s="7" t="s">
        <v>15</v>
      </c>
      <c r="U11" s="7" t="s">
        <v>15</v>
      </c>
      <c r="V11" s="153" t="s">
        <v>15</v>
      </c>
      <c r="W11" s="7" t="s">
        <v>15</v>
      </c>
      <c r="X11" s="7" t="s">
        <v>15</v>
      </c>
      <c r="Y11" s="153" t="s">
        <v>15</v>
      </c>
      <c r="Z11" s="94"/>
      <c r="AA11" s="94"/>
      <c r="AB11" s="148" t="s">
        <v>15</v>
      </c>
      <c r="AC11" s="7" t="s">
        <v>15</v>
      </c>
      <c r="AD11" s="153" t="s">
        <v>15</v>
      </c>
      <c r="AE11" s="148" t="s">
        <v>15</v>
      </c>
      <c r="AF11" s="7" t="s">
        <v>15</v>
      </c>
      <c r="AG11" s="153" t="s">
        <v>15</v>
      </c>
      <c r="AH11" s="148" t="s">
        <v>15</v>
      </c>
      <c r="AI11" s="7" t="s">
        <v>15</v>
      </c>
      <c r="AJ11" s="153" t="s">
        <v>15</v>
      </c>
      <c r="AK11" s="148" t="s">
        <v>15</v>
      </c>
      <c r="AL11" s="7" t="s">
        <v>15</v>
      </c>
      <c r="AM11" s="153" t="s">
        <v>15</v>
      </c>
      <c r="AN11" s="148" t="s">
        <v>15</v>
      </c>
      <c r="AO11" s="7" t="s">
        <v>15</v>
      </c>
      <c r="AP11" s="7" t="s">
        <v>15</v>
      </c>
      <c r="AQ11" s="148" t="s">
        <v>15</v>
      </c>
      <c r="AR11" s="7" t="s">
        <v>15</v>
      </c>
      <c r="AS11" s="7" t="s">
        <v>15</v>
      </c>
      <c r="AT11" s="148" t="s">
        <v>15</v>
      </c>
      <c r="AU11" s="7" t="s">
        <v>15</v>
      </c>
      <c r="AV11" s="7" t="s">
        <v>15</v>
      </c>
      <c r="AW11" s="148" t="s">
        <v>15</v>
      </c>
      <c r="AX11" s="7" t="s">
        <v>15</v>
      </c>
      <c r="AY11" s="7" t="s">
        <v>15</v>
      </c>
      <c r="AZ11" s="7" t="s">
        <v>15</v>
      </c>
      <c r="BA11" s="7" t="s">
        <v>15</v>
      </c>
      <c r="BB11" s="7" t="s">
        <v>15</v>
      </c>
      <c r="BC11" s="7" t="s">
        <v>15</v>
      </c>
      <c r="BD11" s="7" t="s">
        <v>15</v>
      </c>
      <c r="BE11" s="7" t="s">
        <v>15</v>
      </c>
      <c r="BF11" s="7" t="s">
        <v>15</v>
      </c>
      <c r="BG11" s="7" t="s">
        <v>15</v>
      </c>
      <c r="BH11" s="153" t="s">
        <v>15</v>
      </c>
    </row>
    <row r="12" spans="1:67" ht="14.95" customHeight="1" thickBot="1" x14ac:dyDescent="0.3">
      <c r="A12" s="408" t="s">
        <v>726</v>
      </c>
      <c r="B12" s="409">
        <v>0</v>
      </c>
      <c r="C12" s="410">
        <v>0</v>
      </c>
      <c r="D12" s="411">
        <v>0</v>
      </c>
      <c r="E12" s="412">
        <f t="shared" si="0"/>
        <v>0</v>
      </c>
      <c r="F12" s="166" t="s">
        <v>726</v>
      </c>
      <c r="G12" s="142">
        <v>0</v>
      </c>
      <c r="H12" s="280">
        <v>0</v>
      </c>
      <c r="I12" s="415">
        <v>0</v>
      </c>
      <c r="J12" s="169">
        <f t="shared" si="1"/>
        <v>0</v>
      </c>
      <c r="K12" s="26"/>
      <c r="AB12" s="160"/>
      <c r="AC12" s="160"/>
    </row>
    <row r="13" spans="1:67" ht="14.95" customHeight="1" thickBot="1" x14ac:dyDescent="0.3">
      <c r="A13" s="408" t="s">
        <v>985</v>
      </c>
      <c r="B13" s="409">
        <v>0</v>
      </c>
      <c r="C13" s="410">
        <v>0</v>
      </c>
      <c r="D13" s="411">
        <v>0</v>
      </c>
      <c r="E13" s="412">
        <f t="shared" si="0"/>
        <v>0</v>
      </c>
      <c r="F13" s="166" t="s">
        <v>985</v>
      </c>
      <c r="G13" s="142">
        <v>0</v>
      </c>
      <c r="H13" s="280">
        <v>0</v>
      </c>
      <c r="I13" s="415">
        <v>0</v>
      </c>
      <c r="J13" s="169">
        <f>SUM(G13:I13)</f>
        <v>0</v>
      </c>
      <c r="K13" s="492" t="s">
        <v>195</v>
      </c>
      <c r="L13" s="481" t="s">
        <v>14</v>
      </c>
      <c r="M13" s="482"/>
      <c r="N13" s="483"/>
      <c r="O13" s="457" t="s">
        <v>234</v>
      </c>
      <c r="P13" s="458"/>
      <c r="Q13" s="459"/>
      <c r="R13" s="457" t="s">
        <v>903</v>
      </c>
      <c r="S13" s="458"/>
      <c r="T13" s="459"/>
      <c r="U13" s="457" t="s">
        <v>601</v>
      </c>
      <c r="V13" s="458"/>
      <c r="W13" s="459"/>
      <c r="X13" s="160"/>
      <c r="AB13" s="457" t="s">
        <v>494</v>
      </c>
      <c r="AC13" s="458"/>
      <c r="AD13" s="459"/>
      <c r="AE13" s="457" t="s">
        <v>407</v>
      </c>
      <c r="AF13" s="458"/>
      <c r="AG13" s="459"/>
      <c r="AH13" s="457" t="s">
        <v>313</v>
      </c>
      <c r="AI13" s="458"/>
      <c r="AJ13" s="459"/>
      <c r="AK13" s="457" t="s">
        <v>227</v>
      </c>
      <c r="AL13" s="458"/>
      <c r="AM13" s="459"/>
      <c r="AN13" s="457" t="s">
        <v>172</v>
      </c>
      <c r="AO13" s="458"/>
      <c r="AP13" s="459"/>
      <c r="AQ13" s="457" t="s">
        <v>79</v>
      </c>
      <c r="AR13" s="458"/>
      <c r="AS13" s="459"/>
      <c r="AT13" s="457" t="s">
        <v>54</v>
      </c>
      <c r="AU13" s="458"/>
      <c r="AV13" s="459"/>
      <c r="AW13" s="457" t="s">
        <v>50</v>
      </c>
      <c r="AX13" s="458"/>
      <c r="AY13" s="459"/>
      <c r="AZ13" s="457" t="s">
        <v>173</v>
      </c>
      <c r="BA13" s="458"/>
      <c r="BB13" s="459"/>
      <c r="BC13" s="62"/>
    </row>
    <row r="14" spans="1:67" ht="14.95" customHeight="1" thickBot="1" x14ac:dyDescent="0.3">
      <c r="A14" s="408" t="s">
        <v>506</v>
      </c>
      <c r="B14" s="409">
        <v>1</v>
      </c>
      <c r="C14" s="410">
        <v>1</v>
      </c>
      <c r="D14" s="411">
        <v>0</v>
      </c>
      <c r="E14" s="412">
        <f t="shared" ref="E14" si="9">SUM(B14:D14)</f>
        <v>2</v>
      </c>
      <c r="F14" s="167" t="s">
        <v>506</v>
      </c>
      <c r="G14" s="142">
        <v>5</v>
      </c>
      <c r="H14" s="280">
        <v>5</v>
      </c>
      <c r="I14" s="415">
        <v>0</v>
      </c>
      <c r="J14" s="169">
        <f>SUM(G14:I14)</f>
        <v>10</v>
      </c>
      <c r="K14" s="493"/>
      <c r="L14" s="484"/>
      <c r="M14" s="485"/>
      <c r="N14" s="486"/>
      <c r="O14" s="460"/>
      <c r="P14" s="461"/>
      <c r="Q14" s="462"/>
      <c r="R14" s="460"/>
      <c r="S14" s="461"/>
      <c r="T14" s="462"/>
      <c r="U14" s="460"/>
      <c r="V14" s="461"/>
      <c r="W14" s="462"/>
      <c r="AB14" s="460"/>
      <c r="AC14" s="461"/>
      <c r="AD14" s="462"/>
      <c r="AE14" s="460"/>
      <c r="AF14" s="461"/>
      <c r="AG14" s="462"/>
      <c r="AH14" s="460"/>
      <c r="AI14" s="461"/>
      <c r="AJ14" s="462"/>
      <c r="AK14" s="460"/>
      <c r="AL14" s="461"/>
      <c r="AM14" s="462"/>
      <c r="AN14" s="460"/>
      <c r="AO14" s="461"/>
      <c r="AP14" s="462"/>
      <c r="AQ14" s="460"/>
      <c r="AR14" s="461"/>
      <c r="AS14" s="462"/>
      <c r="AT14" s="460"/>
      <c r="AU14" s="461"/>
      <c r="AV14" s="462"/>
      <c r="AW14" s="460"/>
      <c r="AX14" s="461"/>
      <c r="AY14" s="462"/>
      <c r="AZ14" s="460"/>
      <c r="BA14" s="461"/>
      <c r="BB14" s="462"/>
      <c r="BC14" s="62"/>
    </row>
    <row r="15" spans="1:67" ht="14.95" customHeight="1" thickBot="1" x14ac:dyDescent="0.3">
      <c r="A15" s="408" t="s">
        <v>213</v>
      </c>
      <c r="B15" s="409">
        <v>2</v>
      </c>
      <c r="C15" s="410">
        <v>1</v>
      </c>
      <c r="D15" s="411">
        <v>0</v>
      </c>
      <c r="E15" s="412">
        <f t="shared" si="0"/>
        <v>3</v>
      </c>
      <c r="F15" s="167" t="s">
        <v>213</v>
      </c>
      <c r="G15" s="142">
        <v>10</v>
      </c>
      <c r="H15" s="280">
        <v>5</v>
      </c>
      <c r="I15" s="415">
        <v>0</v>
      </c>
      <c r="J15" s="169">
        <f t="shared" si="1"/>
        <v>15</v>
      </c>
      <c r="K15" s="252" t="s">
        <v>21</v>
      </c>
      <c r="L15" s="3" t="s">
        <v>46</v>
      </c>
      <c r="M15" s="3" t="s">
        <v>9</v>
      </c>
      <c r="N15" s="3" t="s">
        <v>10</v>
      </c>
      <c r="O15" s="7" t="s">
        <v>46</v>
      </c>
      <c r="P15" s="7" t="s">
        <v>9</v>
      </c>
      <c r="Q15" s="7" t="s">
        <v>10</v>
      </c>
      <c r="R15" s="7" t="s">
        <v>46</v>
      </c>
      <c r="S15" s="7" t="s">
        <v>9</v>
      </c>
      <c r="T15" s="7" t="s">
        <v>10</v>
      </c>
      <c r="U15" s="7" t="s">
        <v>46</v>
      </c>
      <c r="V15" s="7" t="s">
        <v>9</v>
      </c>
      <c r="W15" s="7" t="s">
        <v>10</v>
      </c>
      <c r="AB15" s="148" t="s">
        <v>46</v>
      </c>
      <c r="AC15" s="7" t="s">
        <v>9</v>
      </c>
      <c r="AD15" s="7" t="s">
        <v>10</v>
      </c>
      <c r="AE15" s="148" t="s">
        <v>46</v>
      </c>
      <c r="AF15" s="7" t="s">
        <v>9</v>
      </c>
      <c r="AG15" s="7" t="s">
        <v>10</v>
      </c>
      <c r="AH15" s="148" t="s">
        <v>46</v>
      </c>
      <c r="AI15" s="7" t="s">
        <v>9</v>
      </c>
      <c r="AJ15" s="7" t="s">
        <v>10</v>
      </c>
      <c r="AK15" s="148" t="s">
        <v>46</v>
      </c>
      <c r="AL15" s="7" t="s">
        <v>9</v>
      </c>
      <c r="AM15" s="7" t="s">
        <v>10</v>
      </c>
      <c r="AN15" s="148" t="s">
        <v>46</v>
      </c>
      <c r="AO15" s="7" t="s">
        <v>9</v>
      </c>
      <c r="AP15" s="7" t="s">
        <v>10</v>
      </c>
      <c r="AQ15" s="148" t="s">
        <v>46</v>
      </c>
      <c r="AR15" s="7" t="s">
        <v>9</v>
      </c>
      <c r="AS15" s="7" t="s">
        <v>10</v>
      </c>
      <c r="AT15" s="148" t="s">
        <v>46</v>
      </c>
      <c r="AU15" s="7" t="s">
        <v>9</v>
      </c>
      <c r="AV15" s="7" t="s">
        <v>10</v>
      </c>
      <c r="AW15" s="148" t="s">
        <v>46</v>
      </c>
      <c r="AX15" s="7" t="s">
        <v>9</v>
      </c>
      <c r="AY15" s="7" t="s">
        <v>10</v>
      </c>
      <c r="AZ15" s="6" t="s">
        <v>46</v>
      </c>
      <c r="BA15" s="7" t="s">
        <v>9</v>
      </c>
      <c r="BB15" s="7" t="s">
        <v>10</v>
      </c>
      <c r="BC15" s="62"/>
    </row>
    <row r="16" spans="1:67" ht="14.95" customHeight="1" thickBot="1" x14ac:dyDescent="0.3">
      <c r="A16" s="408" t="s">
        <v>245</v>
      </c>
      <c r="B16" s="409">
        <v>1</v>
      </c>
      <c r="C16" s="410">
        <v>0</v>
      </c>
      <c r="D16" s="411">
        <v>0</v>
      </c>
      <c r="E16" s="412">
        <f t="shared" si="0"/>
        <v>1</v>
      </c>
      <c r="F16" s="167" t="s">
        <v>245</v>
      </c>
      <c r="G16" s="142">
        <v>5</v>
      </c>
      <c r="H16" s="280">
        <v>0</v>
      </c>
      <c r="I16" s="415">
        <v>0</v>
      </c>
      <c r="J16" s="169">
        <f t="shared" si="1"/>
        <v>5</v>
      </c>
      <c r="K16" s="408" t="s">
        <v>993</v>
      </c>
      <c r="L16" s="412" t="s">
        <v>15</v>
      </c>
      <c r="M16" s="412" t="s">
        <v>15</v>
      </c>
      <c r="N16" s="413" t="s">
        <v>15</v>
      </c>
      <c r="O16" s="7">
        <v>3</v>
      </c>
      <c r="P16" s="7">
        <v>3</v>
      </c>
      <c r="Q16" s="153">
        <v>100</v>
      </c>
      <c r="R16" s="7">
        <v>1</v>
      </c>
      <c r="S16" s="7">
        <v>1</v>
      </c>
      <c r="T16" s="153">
        <v>100</v>
      </c>
      <c r="U16" s="7" t="s">
        <v>15</v>
      </c>
      <c r="V16" s="7" t="s">
        <v>15</v>
      </c>
      <c r="W16" s="153" t="s">
        <v>15</v>
      </c>
      <c r="AB16" s="148">
        <v>5</v>
      </c>
      <c r="AC16" s="7">
        <v>6</v>
      </c>
      <c r="AD16" s="153">
        <v>83.333333333333343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</row>
    <row r="17" spans="1:60" ht="14.95" customHeight="1" thickBot="1" x14ac:dyDescent="0.3">
      <c r="A17" s="408" t="s">
        <v>342</v>
      </c>
      <c r="B17" s="409">
        <v>0</v>
      </c>
      <c r="C17" s="410">
        <v>0</v>
      </c>
      <c r="D17" s="411">
        <v>0</v>
      </c>
      <c r="E17" s="412">
        <f t="shared" si="0"/>
        <v>0</v>
      </c>
      <c r="F17" s="167" t="s">
        <v>342</v>
      </c>
      <c r="G17" s="142">
        <v>0</v>
      </c>
      <c r="H17" s="280">
        <v>0</v>
      </c>
      <c r="I17" s="415">
        <v>0</v>
      </c>
      <c r="J17" s="169">
        <f t="shared" si="1"/>
        <v>0</v>
      </c>
      <c r="K17" s="408" t="s">
        <v>986</v>
      </c>
      <c r="L17" s="412" t="s">
        <v>15</v>
      </c>
      <c r="M17" s="412" t="s">
        <v>15</v>
      </c>
      <c r="N17" s="413" t="s">
        <v>15</v>
      </c>
      <c r="O17" s="7" t="s">
        <v>15</v>
      </c>
      <c r="P17" s="7" t="s">
        <v>15</v>
      </c>
      <c r="Q17" s="153" t="s">
        <v>15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6" t="s">
        <v>15</v>
      </c>
      <c r="AI17" s="7" t="s">
        <v>15</v>
      </c>
      <c r="AJ17" s="153" t="s">
        <v>15</v>
      </c>
      <c r="AK17" s="7" t="s">
        <v>15</v>
      </c>
      <c r="AL17" s="7" t="s">
        <v>15</v>
      </c>
      <c r="AM17" s="153" t="s">
        <v>15</v>
      </c>
      <c r="AN17" s="7" t="s">
        <v>15</v>
      </c>
      <c r="AO17" s="7" t="s">
        <v>15</v>
      </c>
      <c r="AP17" s="153" t="s">
        <v>15</v>
      </c>
      <c r="AQ17" s="7" t="s">
        <v>15</v>
      </c>
      <c r="AR17" s="7" t="s">
        <v>15</v>
      </c>
      <c r="AS17" s="153" t="s">
        <v>15</v>
      </c>
      <c r="AT17" s="7">
        <v>3</v>
      </c>
      <c r="AU17" s="7">
        <v>7</v>
      </c>
      <c r="AV17" s="153">
        <v>43</v>
      </c>
      <c r="AW17" s="7" t="s">
        <v>15</v>
      </c>
      <c r="AX17" s="7" t="s">
        <v>15</v>
      </c>
      <c r="AY17" s="153" t="s">
        <v>15</v>
      </c>
      <c r="AZ17" s="7" t="s">
        <v>15</v>
      </c>
      <c r="BA17" s="7" t="s">
        <v>15</v>
      </c>
      <c r="BB17" s="153" t="s">
        <v>15</v>
      </c>
      <c r="BC17" s="62"/>
    </row>
    <row r="18" spans="1:60" ht="14.95" customHeight="1" thickBot="1" x14ac:dyDescent="0.3">
      <c r="A18" s="408" t="s">
        <v>421</v>
      </c>
      <c r="B18" s="409">
        <v>1</v>
      </c>
      <c r="C18" s="410">
        <v>1</v>
      </c>
      <c r="D18" s="411">
        <v>1</v>
      </c>
      <c r="E18" s="412">
        <f t="shared" si="0"/>
        <v>3</v>
      </c>
      <c r="F18" s="167" t="s">
        <v>421</v>
      </c>
      <c r="G18" s="142">
        <v>5</v>
      </c>
      <c r="H18" s="280">
        <v>5</v>
      </c>
      <c r="I18" s="415">
        <v>5</v>
      </c>
      <c r="J18" s="169">
        <f t="shared" si="1"/>
        <v>15</v>
      </c>
      <c r="K18" s="408" t="s">
        <v>923</v>
      </c>
      <c r="L18" s="412">
        <v>13</v>
      </c>
      <c r="M18" s="412">
        <v>20</v>
      </c>
      <c r="N18" s="413">
        <f t="shared" ref="N18" si="10">SUM(L18/M18)*100</f>
        <v>65</v>
      </c>
      <c r="O18" s="7" t="s">
        <v>15</v>
      </c>
      <c r="P18" s="7" t="s">
        <v>15</v>
      </c>
      <c r="Q18" s="153" t="s">
        <v>15</v>
      </c>
      <c r="R18" s="7" t="s">
        <v>15</v>
      </c>
      <c r="S18" s="7" t="s">
        <v>15</v>
      </c>
      <c r="T18" s="153" t="s">
        <v>15</v>
      </c>
      <c r="U18" s="7" t="s">
        <v>15</v>
      </c>
      <c r="V18" s="7" t="s">
        <v>15</v>
      </c>
      <c r="W18" s="153" t="s">
        <v>15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153" t="s">
        <v>15</v>
      </c>
      <c r="AH18" s="148" t="s">
        <v>15</v>
      </c>
      <c r="AI18" s="7" t="s">
        <v>15</v>
      </c>
      <c r="AJ18" s="153" t="s">
        <v>15</v>
      </c>
      <c r="AK18" s="7">
        <v>7</v>
      </c>
      <c r="AL18" s="7">
        <v>10</v>
      </c>
      <c r="AM18" s="153">
        <v>70</v>
      </c>
      <c r="AN18" s="148" t="s">
        <v>15</v>
      </c>
      <c r="AO18" s="7" t="s">
        <v>15</v>
      </c>
      <c r="AP18" s="153" t="s">
        <v>15</v>
      </c>
      <c r="AQ18" s="148">
        <v>8</v>
      </c>
      <c r="AR18" s="7">
        <v>13</v>
      </c>
      <c r="AS18" s="153">
        <v>62</v>
      </c>
      <c r="AT18" s="148" t="s">
        <v>15</v>
      </c>
      <c r="AU18" s="7" t="s">
        <v>15</v>
      </c>
      <c r="AV18" s="153" t="s">
        <v>15</v>
      </c>
      <c r="AW18" s="148" t="s">
        <v>15</v>
      </c>
      <c r="AX18" s="7" t="s">
        <v>15</v>
      </c>
      <c r="AY18" s="153" t="s">
        <v>15</v>
      </c>
      <c r="AZ18" s="148" t="s">
        <v>15</v>
      </c>
      <c r="BA18" s="7" t="s">
        <v>15</v>
      </c>
      <c r="BB18" s="153" t="s">
        <v>15</v>
      </c>
      <c r="BC18" s="62"/>
    </row>
    <row r="19" spans="1:60" ht="14.95" customHeight="1" thickBot="1" x14ac:dyDescent="0.3">
      <c r="A19" s="408" t="s">
        <v>409</v>
      </c>
      <c r="B19" s="409">
        <v>1</v>
      </c>
      <c r="C19" s="410">
        <v>0</v>
      </c>
      <c r="D19" s="411">
        <v>0</v>
      </c>
      <c r="E19" s="412">
        <f t="shared" si="0"/>
        <v>1</v>
      </c>
      <c r="F19" s="167" t="s">
        <v>409</v>
      </c>
      <c r="G19" s="142">
        <v>5</v>
      </c>
      <c r="H19" s="280">
        <v>0</v>
      </c>
      <c r="I19" s="415">
        <v>0</v>
      </c>
      <c r="J19" s="169">
        <f t="shared" si="1"/>
        <v>5</v>
      </c>
      <c r="K19" s="403" t="s">
        <v>200</v>
      </c>
      <c r="L19" s="412" t="s">
        <v>15</v>
      </c>
      <c r="M19" s="412" t="s">
        <v>15</v>
      </c>
      <c r="N19" s="413" t="s">
        <v>15</v>
      </c>
      <c r="O19" s="7">
        <v>1</v>
      </c>
      <c r="P19" s="7">
        <v>1</v>
      </c>
      <c r="Q19" s="153">
        <v>100</v>
      </c>
      <c r="R19" s="7" t="s">
        <v>15</v>
      </c>
      <c r="S19" s="7" t="s">
        <v>15</v>
      </c>
      <c r="T19" s="153" t="s">
        <v>15</v>
      </c>
      <c r="U19" s="7" t="s">
        <v>15</v>
      </c>
      <c r="V19" s="7" t="s">
        <v>15</v>
      </c>
      <c r="W19" s="153" t="s">
        <v>15</v>
      </c>
      <c r="AB19" s="148" t="s">
        <v>15</v>
      </c>
      <c r="AC19" s="7" t="s">
        <v>15</v>
      </c>
      <c r="AD19" s="153" t="s">
        <v>15</v>
      </c>
      <c r="AE19" s="148" t="s">
        <v>15</v>
      </c>
      <c r="AF19" s="7" t="s">
        <v>15</v>
      </c>
      <c r="AG19" s="153" t="s">
        <v>15</v>
      </c>
      <c r="AH19" s="6" t="s">
        <v>15</v>
      </c>
      <c r="AI19" s="7" t="s">
        <v>15</v>
      </c>
      <c r="AJ19" s="153" t="s">
        <v>15</v>
      </c>
      <c r="AK19" s="7" t="s">
        <v>15</v>
      </c>
      <c r="AL19" s="7" t="s">
        <v>15</v>
      </c>
      <c r="AM19" s="153" t="s">
        <v>15</v>
      </c>
      <c r="AN19" s="7" t="s">
        <v>15</v>
      </c>
      <c r="AO19" s="7" t="s">
        <v>15</v>
      </c>
      <c r="AP19" s="153" t="s">
        <v>15</v>
      </c>
      <c r="AQ19" s="7" t="s">
        <v>15</v>
      </c>
      <c r="AR19" s="7" t="s">
        <v>15</v>
      </c>
      <c r="AS19" s="153" t="s">
        <v>15</v>
      </c>
      <c r="AT19" s="7" t="s">
        <v>15</v>
      </c>
      <c r="AU19" s="7" t="s">
        <v>15</v>
      </c>
      <c r="AV19" s="153" t="s">
        <v>15</v>
      </c>
      <c r="AW19" s="7" t="s">
        <v>15</v>
      </c>
      <c r="AX19" s="7" t="s">
        <v>15</v>
      </c>
      <c r="AY19" s="153" t="s">
        <v>15</v>
      </c>
      <c r="AZ19" s="7" t="s">
        <v>15</v>
      </c>
      <c r="BA19" s="7" t="s">
        <v>15</v>
      </c>
      <c r="BB19" s="153" t="s">
        <v>15</v>
      </c>
      <c r="BC19" s="62"/>
    </row>
    <row r="20" spans="1:60" ht="14.95" customHeight="1" thickBot="1" x14ac:dyDescent="0.3">
      <c r="A20" s="408" t="s">
        <v>685</v>
      </c>
      <c r="B20" s="409">
        <v>0</v>
      </c>
      <c r="C20" s="410">
        <v>0</v>
      </c>
      <c r="D20" s="411">
        <v>0</v>
      </c>
      <c r="E20" s="412">
        <f t="shared" si="0"/>
        <v>0</v>
      </c>
      <c r="F20" s="167" t="s">
        <v>685</v>
      </c>
      <c r="G20" s="142">
        <v>0</v>
      </c>
      <c r="H20" s="280">
        <v>0</v>
      </c>
      <c r="I20" s="415">
        <v>0</v>
      </c>
      <c r="J20" s="169">
        <f t="shared" si="1"/>
        <v>0</v>
      </c>
      <c r="K20" s="408" t="s">
        <v>922</v>
      </c>
      <c r="L20" s="412">
        <v>1</v>
      </c>
      <c r="M20" s="412">
        <v>1</v>
      </c>
      <c r="N20" s="413">
        <f t="shared" ref="N20" si="11">SUM(L20/M20)*100</f>
        <v>100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B20" s="148" t="s">
        <v>15</v>
      </c>
      <c r="AC20" s="7" t="s">
        <v>15</v>
      </c>
      <c r="AD20" s="153" t="s">
        <v>15</v>
      </c>
      <c r="AE20" s="148" t="s">
        <v>15</v>
      </c>
      <c r="AF20" s="7" t="s">
        <v>15</v>
      </c>
      <c r="AG20" s="153" t="s">
        <v>15</v>
      </c>
      <c r="AH20" s="6" t="s">
        <v>15</v>
      </c>
      <c r="AI20" s="7" t="s">
        <v>15</v>
      </c>
      <c r="AJ20" s="153" t="s">
        <v>15</v>
      </c>
      <c r="AK20" s="7" t="s">
        <v>15</v>
      </c>
      <c r="AL20" s="7" t="s">
        <v>15</v>
      </c>
      <c r="AM20" s="153" t="s">
        <v>15</v>
      </c>
      <c r="AN20" s="7" t="s">
        <v>15</v>
      </c>
      <c r="AO20" s="7" t="s">
        <v>15</v>
      </c>
      <c r="AP20" s="153" t="s">
        <v>15</v>
      </c>
      <c r="AQ20" s="7" t="s">
        <v>15</v>
      </c>
      <c r="AR20" s="7" t="s">
        <v>15</v>
      </c>
      <c r="AS20" s="153" t="s">
        <v>15</v>
      </c>
      <c r="AT20" s="7" t="s">
        <v>15</v>
      </c>
      <c r="AU20" s="7" t="s">
        <v>15</v>
      </c>
      <c r="AV20" s="153" t="s">
        <v>15</v>
      </c>
      <c r="AW20" s="7" t="s">
        <v>15</v>
      </c>
      <c r="AX20" s="7" t="s">
        <v>15</v>
      </c>
      <c r="AY20" s="153" t="s">
        <v>15</v>
      </c>
      <c r="AZ20" s="7" t="s">
        <v>15</v>
      </c>
      <c r="BA20" s="7" t="s">
        <v>15</v>
      </c>
      <c r="BB20" s="153" t="s">
        <v>15</v>
      </c>
      <c r="BC20" s="62"/>
    </row>
    <row r="21" spans="1:60" ht="14.95" customHeight="1" thickBot="1" x14ac:dyDescent="0.3">
      <c r="A21" s="408" t="s">
        <v>990</v>
      </c>
      <c r="B21" s="409">
        <v>0</v>
      </c>
      <c r="C21" s="410">
        <v>0</v>
      </c>
      <c r="D21" s="411">
        <v>0</v>
      </c>
      <c r="E21" s="412">
        <f t="shared" si="0"/>
        <v>0</v>
      </c>
      <c r="F21" s="167" t="s">
        <v>990</v>
      </c>
      <c r="G21" s="142">
        <v>0</v>
      </c>
      <c r="H21" s="280">
        <v>0</v>
      </c>
      <c r="I21" s="415">
        <v>0</v>
      </c>
      <c r="J21" s="169">
        <f t="shared" si="1"/>
        <v>0</v>
      </c>
      <c r="K21" s="408" t="s">
        <v>63</v>
      </c>
      <c r="L21" s="412">
        <v>1</v>
      </c>
      <c r="M21" s="412">
        <v>1</v>
      </c>
      <c r="N21" s="413">
        <f t="shared" ref="N21" si="12">SUM(L21/M21)*100</f>
        <v>100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B21" s="148" t="s">
        <v>15</v>
      </c>
      <c r="AC21" s="7" t="s">
        <v>15</v>
      </c>
      <c r="AD21" s="153" t="s">
        <v>15</v>
      </c>
      <c r="AE21" s="148" t="s">
        <v>15</v>
      </c>
      <c r="AF21" s="7" t="s">
        <v>15</v>
      </c>
      <c r="AG21" s="153" t="s">
        <v>15</v>
      </c>
      <c r="AH21" s="6" t="s">
        <v>15</v>
      </c>
      <c r="AI21" s="7" t="s">
        <v>15</v>
      </c>
      <c r="AJ21" s="153" t="s">
        <v>15</v>
      </c>
      <c r="AK21" s="7" t="s">
        <v>15</v>
      </c>
      <c r="AL21" s="7" t="s">
        <v>15</v>
      </c>
      <c r="AM21" s="153" t="s">
        <v>15</v>
      </c>
      <c r="AN21" s="7" t="s">
        <v>15</v>
      </c>
      <c r="AO21" s="7" t="s">
        <v>15</v>
      </c>
      <c r="AP21" s="153" t="s">
        <v>15</v>
      </c>
      <c r="AQ21" s="7" t="s">
        <v>15</v>
      </c>
      <c r="AR21" s="7" t="s">
        <v>15</v>
      </c>
      <c r="AS21" s="153" t="s">
        <v>15</v>
      </c>
      <c r="AT21" s="7" t="s">
        <v>15</v>
      </c>
      <c r="AU21" s="7" t="s">
        <v>15</v>
      </c>
      <c r="AV21" s="153" t="s">
        <v>15</v>
      </c>
      <c r="AW21" s="7" t="s">
        <v>15</v>
      </c>
      <c r="AX21" s="7" t="s">
        <v>15</v>
      </c>
      <c r="AY21" s="153" t="s">
        <v>15</v>
      </c>
      <c r="AZ21" s="7" t="s">
        <v>15</v>
      </c>
      <c r="BA21" s="7" t="s">
        <v>15</v>
      </c>
      <c r="BB21" s="153" t="s">
        <v>15</v>
      </c>
      <c r="BC21" s="62"/>
    </row>
    <row r="22" spans="1:60" ht="14.95" customHeight="1" thickBot="1" x14ac:dyDescent="0.3">
      <c r="A22" s="408" t="s">
        <v>215</v>
      </c>
      <c r="B22" s="409">
        <v>0</v>
      </c>
      <c r="C22" s="410">
        <v>0</v>
      </c>
      <c r="D22" s="411">
        <v>0</v>
      </c>
      <c r="E22" s="412">
        <f t="shared" si="0"/>
        <v>0</v>
      </c>
      <c r="F22" s="167" t="s">
        <v>215</v>
      </c>
      <c r="G22" s="142">
        <v>0</v>
      </c>
      <c r="H22" s="280">
        <v>0</v>
      </c>
      <c r="I22" s="415">
        <v>0</v>
      </c>
      <c r="J22" s="169">
        <f t="shared" si="1"/>
        <v>0</v>
      </c>
      <c r="O22" s="62"/>
      <c r="P22" s="62"/>
      <c r="Q22" s="62"/>
      <c r="R22" s="62"/>
      <c r="S22" s="62"/>
      <c r="T22" s="62"/>
      <c r="U22" s="62"/>
      <c r="V22" s="62"/>
      <c r="W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60" ht="14.95" customHeight="1" thickBot="1" x14ac:dyDescent="0.3">
      <c r="A23" s="408" t="s">
        <v>454</v>
      </c>
      <c r="B23" s="409">
        <v>0</v>
      </c>
      <c r="C23" s="410">
        <v>0</v>
      </c>
      <c r="D23" s="411">
        <v>0</v>
      </c>
      <c r="E23" s="412">
        <f t="shared" si="0"/>
        <v>0</v>
      </c>
      <c r="F23" s="167" t="s">
        <v>454</v>
      </c>
      <c r="G23" s="142">
        <v>0</v>
      </c>
      <c r="H23" s="280">
        <v>0</v>
      </c>
      <c r="I23" s="415">
        <v>0</v>
      </c>
      <c r="J23" s="169">
        <f t="shared" si="1"/>
        <v>0</v>
      </c>
      <c r="K23" s="487" t="s">
        <v>196</v>
      </c>
      <c r="L23" s="457" t="s">
        <v>14</v>
      </c>
      <c r="M23" s="458"/>
      <c r="N23" s="459"/>
      <c r="O23" s="457" t="s">
        <v>234</v>
      </c>
      <c r="P23" s="458"/>
      <c r="Q23" s="459"/>
      <c r="R23" s="457" t="s">
        <v>903</v>
      </c>
      <c r="S23" s="458"/>
      <c r="T23" s="459"/>
      <c r="U23" s="457" t="s">
        <v>601</v>
      </c>
      <c r="V23" s="458"/>
      <c r="W23" s="459"/>
      <c r="AB23" s="457" t="s">
        <v>494</v>
      </c>
      <c r="AC23" s="458"/>
      <c r="AD23" s="459"/>
      <c r="AE23" s="457" t="s">
        <v>407</v>
      </c>
      <c r="AF23" s="458"/>
      <c r="AG23" s="459"/>
      <c r="AH23" s="457" t="s">
        <v>313</v>
      </c>
      <c r="AI23" s="458"/>
      <c r="AJ23" s="459"/>
      <c r="AK23" s="457" t="s">
        <v>227</v>
      </c>
      <c r="AL23" s="458"/>
      <c r="AM23" s="459"/>
      <c r="AN23" s="457" t="s">
        <v>172</v>
      </c>
      <c r="AO23" s="458"/>
      <c r="AP23" s="459"/>
      <c r="AQ23" s="457" t="s">
        <v>79</v>
      </c>
      <c r="AR23" s="458"/>
      <c r="AS23" s="459"/>
      <c r="AT23" s="457" t="s">
        <v>54</v>
      </c>
      <c r="AU23" s="458"/>
      <c r="AV23" s="459"/>
      <c r="AW23" s="457" t="s">
        <v>50</v>
      </c>
      <c r="AX23" s="458"/>
      <c r="AY23" s="459"/>
      <c r="AZ23" s="457" t="s">
        <v>37</v>
      </c>
      <c r="BA23" s="458"/>
      <c r="BB23" s="459"/>
      <c r="BC23" s="62"/>
    </row>
    <row r="24" spans="1:60" ht="14.95" customHeight="1" thickBot="1" x14ac:dyDescent="0.3">
      <c r="A24" s="408" t="s">
        <v>687</v>
      </c>
      <c r="B24" s="409">
        <v>0</v>
      </c>
      <c r="C24" s="410">
        <v>1</v>
      </c>
      <c r="D24" s="411">
        <v>0</v>
      </c>
      <c r="E24" s="412">
        <f t="shared" si="0"/>
        <v>1</v>
      </c>
      <c r="F24" s="167" t="s">
        <v>687</v>
      </c>
      <c r="G24" s="142">
        <v>0</v>
      </c>
      <c r="H24" s="280">
        <v>5</v>
      </c>
      <c r="I24" s="415">
        <v>0</v>
      </c>
      <c r="J24" s="169">
        <f t="shared" si="1"/>
        <v>5</v>
      </c>
      <c r="K24" s="488"/>
      <c r="L24" s="460"/>
      <c r="M24" s="461"/>
      <c r="N24" s="462"/>
      <c r="O24" s="460"/>
      <c r="P24" s="461"/>
      <c r="Q24" s="462"/>
      <c r="R24" s="460"/>
      <c r="S24" s="461"/>
      <c r="T24" s="462"/>
      <c r="U24" s="460"/>
      <c r="V24" s="461"/>
      <c r="W24" s="462"/>
      <c r="AB24" s="460"/>
      <c r="AC24" s="461"/>
      <c r="AD24" s="462"/>
      <c r="AE24" s="460"/>
      <c r="AF24" s="461"/>
      <c r="AG24" s="462"/>
      <c r="AH24" s="460"/>
      <c r="AI24" s="461"/>
      <c r="AJ24" s="462"/>
      <c r="AK24" s="460"/>
      <c r="AL24" s="461"/>
      <c r="AM24" s="462"/>
      <c r="AN24" s="460"/>
      <c r="AO24" s="461"/>
      <c r="AP24" s="462"/>
      <c r="AQ24" s="460"/>
      <c r="AR24" s="461"/>
      <c r="AS24" s="462"/>
      <c r="AT24" s="460"/>
      <c r="AU24" s="461"/>
      <c r="AV24" s="462"/>
      <c r="AW24" s="460"/>
      <c r="AX24" s="461"/>
      <c r="AY24" s="462"/>
      <c r="AZ24" s="460"/>
      <c r="BA24" s="461"/>
      <c r="BB24" s="462"/>
      <c r="BC24" s="62"/>
    </row>
    <row r="25" spans="1:60" ht="14.95" thickBot="1" x14ac:dyDescent="0.3">
      <c r="A25" s="408" t="s">
        <v>282</v>
      </c>
      <c r="B25" s="409">
        <v>0</v>
      </c>
      <c r="C25" s="410">
        <v>0</v>
      </c>
      <c r="D25" s="411">
        <v>0</v>
      </c>
      <c r="E25" s="412">
        <f t="shared" si="0"/>
        <v>0</v>
      </c>
      <c r="F25" s="167" t="s">
        <v>282</v>
      </c>
      <c r="G25" s="142">
        <v>0</v>
      </c>
      <c r="H25" s="280">
        <v>0</v>
      </c>
      <c r="I25" s="415">
        <v>0</v>
      </c>
      <c r="J25" s="169">
        <f t="shared" si="1"/>
        <v>0</v>
      </c>
      <c r="K25" s="246" t="s">
        <v>21</v>
      </c>
      <c r="L25" s="7" t="s">
        <v>46</v>
      </c>
      <c r="M25" s="7" t="s">
        <v>9</v>
      </c>
      <c r="N25" s="7" t="s">
        <v>10</v>
      </c>
      <c r="O25" s="7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B25" s="148" t="s">
        <v>46</v>
      </c>
      <c r="AC25" s="7" t="s">
        <v>9</v>
      </c>
      <c r="AD25" s="7" t="s">
        <v>10</v>
      </c>
      <c r="AE25" s="148" t="s">
        <v>46</v>
      </c>
      <c r="AF25" s="7" t="s">
        <v>9</v>
      </c>
      <c r="AG25" s="7" t="s">
        <v>10</v>
      </c>
      <c r="AH25" s="148" t="s">
        <v>46</v>
      </c>
      <c r="AI25" s="7" t="s">
        <v>9</v>
      </c>
      <c r="AJ25" s="7" t="s">
        <v>10</v>
      </c>
      <c r="AK25" s="148" t="s">
        <v>46</v>
      </c>
      <c r="AL25" s="7" t="s">
        <v>9</v>
      </c>
      <c r="AM25" s="7" t="s">
        <v>10</v>
      </c>
      <c r="AN25" s="148" t="s">
        <v>46</v>
      </c>
      <c r="AO25" s="7" t="s">
        <v>9</v>
      </c>
      <c r="AP25" s="7" t="s">
        <v>10</v>
      </c>
      <c r="AQ25" s="148" t="s">
        <v>46</v>
      </c>
      <c r="AR25" s="7" t="s">
        <v>9</v>
      </c>
      <c r="AS25" s="7" t="s">
        <v>10</v>
      </c>
      <c r="AT25" s="148" t="s">
        <v>46</v>
      </c>
      <c r="AU25" s="7" t="s">
        <v>9</v>
      </c>
      <c r="AV25" s="7" t="s">
        <v>10</v>
      </c>
      <c r="AW25" s="148" t="s">
        <v>46</v>
      </c>
      <c r="AX25" s="7" t="s">
        <v>9</v>
      </c>
      <c r="AY25" s="7" t="s">
        <v>10</v>
      </c>
      <c r="AZ25" s="6" t="s">
        <v>46</v>
      </c>
      <c r="BA25" s="7" t="s">
        <v>9</v>
      </c>
      <c r="BB25" s="7" t="s">
        <v>10</v>
      </c>
      <c r="BC25" s="62"/>
    </row>
    <row r="26" spans="1:60" ht="14.95" customHeight="1" thickBot="1" x14ac:dyDescent="0.3">
      <c r="A26" s="408" t="s">
        <v>982</v>
      </c>
      <c r="B26" s="409">
        <v>0</v>
      </c>
      <c r="C26" s="410">
        <v>0</v>
      </c>
      <c r="D26" s="411">
        <v>0</v>
      </c>
      <c r="E26" s="412">
        <f t="shared" si="0"/>
        <v>0</v>
      </c>
      <c r="F26" s="167" t="s">
        <v>982</v>
      </c>
      <c r="G26" s="142">
        <v>0</v>
      </c>
      <c r="H26" s="280">
        <v>0</v>
      </c>
      <c r="I26" s="415">
        <v>0</v>
      </c>
      <c r="J26" s="169">
        <f t="shared" si="1"/>
        <v>0</v>
      </c>
      <c r="K26" s="408" t="s">
        <v>993</v>
      </c>
      <c r="L26" s="7" t="s">
        <v>15</v>
      </c>
      <c r="M26" s="153" t="s">
        <v>15</v>
      </c>
      <c r="N26" s="6" t="s">
        <v>15</v>
      </c>
      <c r="O26" s="7" t="s">
        <v>15</v>
      </c>
      <c r="P26" s="153" t="s">
        <v>15</v>
      </c>
      <c r="Q26" s="6" t="s">
        <v>15</v>
      </c>
      <c r="R26" s="7" t="s">
        <v>15</v>
      </c>
      <c r="S26" s="153" t="s">
        <v>15</v>
      </c>
      <c r="T26" s="6" t="s">
        <v>15</v>
      </c>
      <c r="U26" s="6">
        <v>2</v>
      </c>
      <c r="V26" s="6">
        <v>5</v>
      </c>
      <c r="W26" s="6">
        <v>100</v>
      </c>
      <c r="AB26" s="148">
        <v>1</v>
      </c>
      <c r="AC26" s="153">
        <v>4</v>
      </c>
      <c r="AD26" s="6">
        <v>25</v>
      </c>
      <c r="AE26" s="148" t="s">
        <v>15</v>
      </c>
      <c r="AF26" s="153" t="s">
        <v>15</v>
      </c>
      <c r="AG26" s="6" t="s">
        <v>15</v>
      </c>
      <c r="AH26" s="148" t="s">
        <v>15</v>
      </c>
      <c r="AI26" s="153" t="s">
        <v>15</v>
      </c>
      <c r="AJ26" s="6" t="s">
        <v>15</v>
      </c>
      <c r="AK26" s="148" t="s">
        <v>15</v>
      </c>
      <c r="AL26" s="153" t="s">
        <v>15</v>
      </c>
      <c r="AM26" s="6" t="s">
        <v>15</v>
      </c>
      <c r="AN26" s="148" t="s">
        <v>15</v>
      </c>
      <c r="AO26" s="153" t="s">
        <v>15</v>
      </c>
      <c r="AP26" s="6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153" t="s">
        <v>15</v>
      </c>
      <c r="AV26" s="6" t="s">
        <v>15</v>
      </c>
      <c r="AW26" s="148" t="s">
        <v>15</v>
      </c>
      <c r="AX26" s="153" t="s">
        <v>15</v>
      </c>
      <c r="AY26" s="6" t="s">
        <v>15</v>
      </c>
      <c r="AZ26" s="148" t="s">
        <v>15</v>
      </c>
      <c r="BA26" s="153" t="s">
        <v>15</v>
      </c>
      <c r="BB26" s="6" t="s">
        <v>15</v>
      </c>
      <c r="BC26" s="62"/>
    </row>
    <row r="27" spans="1:60" ht="14.95" customHeight="1" thickBot="1" x14ac:dyDescent="0.3">
      <c r="A27" s="408" t="s">
        <v>688</v>
      </c>
      <c r="B27" s="409">
        <v>0</v>
      </c>
      <c r="C27" s="410">
        <v>0</v>
      </c>
      <c r="D27" s="411">
        <v>0</v>
      </c>
      <c r="E27" s="412">
        <f t="shared" si="0"/>
        <v>0</v>
      </c>
      <c r="F27" s="167" t="s">
        <v>688</v>
      </c>
      <c r="G27" s="142">
        <v>0</v>
      </c>
      <c r="H27" s="280">
        <v>0</v>
      </c>
      <c r="I27" s="415">
        <v>0</v>
      </c>
      <c r="J27" s="169">
        <f t="shared" si="1"/>
        <v>0</v>
      </c>
      <c r="K27" s="408" t="s">
        <v>923</v>
      </c>
      <c r="L27" s="7" t="s">
        <v>15</v>
      </c>
      <c r="M27" s="153" t="s">
        <v>15</v>
      </c>
      <c r="N27" s="6" t="s">
        <v>15</v>
      </c>
      <c r="O27" s="7" t="s">
        <v>15</v>
      </c>
      <c r="P27" s="153" t="s">
        <v>15</v>
      </c>
      <c r="Q27" s="6" t="s">
        <v>15</v>
      </c>
      <c r="R27" s="7" t="s">
        <v>15</v>
      </c>
      <c r="S27" s="153" t="s">
        <v>15</v>
      </c>
      <c r="T27" s="6" t="s">
        <v>15</v>
      </c>
      <c r="U27" s="7" t="s">
        <v>15</v>
      </c>
      <c r="V27" s="153" t="s">
        <v>15</v>
      </c>
      <c r="W27" s="6" t="s">
        <v>15</v>
      </c>
      <c r="AB27" s="6">
        <v>8</v>
      </c>
      <c r="AC27" s="7">
        <v>10</v>
      </c>
      <c r="AD27" s="153">
        <f>(AB27/AC27)*100</f>
        <v>80</v>
      </c>
      <c r="AE27" s="148" t="s">
        <v>15</v>
      </c>
      <c r="AF27" s="153" t="s">
        <v>15</v>
      </c>
      <c r="AG27" s="6" t="s">
        <v>15</v>
      </c>
      <c r="AH27" s="148" t="s">
        <v>15</v>
      </c>
      <c r="AI27" s="153" t="s">
        <v>15</v>
      </c>
      <c r="AJ27" s="6" t="s">
        <v>15</v>
      </c>
      <c r="AK27" s="148">
        <v>7</v>
      </c>
      <c r="AL27" s="7">
        <v>10</v>
      </c>
      <c r="AM27" s="153">
        <f>SUM(AK27/AL27)*100</f>
        <v>70</v>
      </c>
      <c r="AN27" s="148" t="s">
        <v>15</v>
      </c>
      <c r="AO27" s="7" t="s">
        <v>15</v>
      </c>
      <c r="AP27" s="7" t="s">
        <v>15</v>
      </c>
      <c r="AQ27" s="6">
        <v>8</v>
      </c>
      <c r="AR27" s="7">
        <v>13</v>
      </c>
      <c r="AS27" s="153">
        <f>SUM(AQ27/AR27)*100</f>
        <v>61.53846153846154</v>
      </c>
      <c r="AT27" s="148" t="s">
        <v>15</v>
      </c>
      <c r="AU27" s="153" t="s">
        <v>15</v>
      </c>
      <c r="AV27" s="6" t="s">
        <v>15</v>
      </c>
      <c r="AW27" s="148" t="s">
        <v>15</v>
      </c>
      <c r="AX27" s="153" t="s">
        <v>15</v>
      </c>
      <c r="AY27" s="6" t="s">
        <v>15</v>
      </c>
      <c r="AZ27" s="148" t="s">
        <v>15</v>
      </c>
      <c r="BA27" s="153" t="s">
        <v>15</v>
      </c>
      <c r="BB27" s="6" t="s">
        <v>15</v>
      </c>
      <c r="BC27" s="62"/>
    </row>
    <row r="28" spans="1:60" ht="14.95" customHeight="1" thickBot="1" x14ac:dyDescent="0.3">
      <c r="A28" s="408" t="s">
        <v>984</v>
      </c>
      <c r="B28" s="409">
        <v>0</v>
      </c>
      <c r="C28" s="410">
        <v>0</v>
      </c>
      <c r="D28" s="411">
        <v>0</v>
      </c>
      <c r="E28" s="412">
        <f t="shared" si="0"/>
        <v>0</v>
      </c>
      <c r="F28" s="167" t="s">
        <v>984</v>
      </c>
      <c r="G28" s="142">
        <v>0</v>
      </c>
      <c r="H28" s="280">
        <v>0</v>
      </c>
      <c r="I28" s="415">
        <v>0</v>
      </c>
      <c r="J28" s="169">
        <f t="shared" si="1"/>
        <v>0</v>
      </c>
      <c r="O28" s="62"/>
      <c r="P28" s="62"/>
      <c r="Q28" s="62"/>
      <c r="R28" s="62"/>
      <c r="S28" s="62"/>
      <c r="T28" s="62"/>
      <c r="U28" s="62"/>
      <c r="V28" s="62"/>
      <c r="W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60" ht="14.95" customHeight="1" thickBot="1" x14ac:dyDescent="0.3">
      <c r="A29" s="408" t="s">
        <v>921</v>
      </c>
      <c r="B29" s="409">
        <v>2</v>
      </c>
      <c r="C29" s="410">
        <v>1</v>
      </c>
      <c r="D29" s="411">
        <v>2</v>
      </c>
      <c r="E29" s="412">
        <f t="shared" si="0"/>
        <v>5</v>
      </c>
      <c r="F29" s="167" t="s">
        <v>921</v>
      </c>
      <c r="G29" s="142">
        <v>10</v>
      </c>
      <c r="H29" s="280">
        <v>5</v>
      </c>
      <c r="I29" s="415">
        <v>10</v>
      </c>
      <c r="J29" s="169">
        <f t="shared" si="1"/>
        <v>25</v>
      </c>
      <c r="K29" s="479" t="s">
        <v>1032</v>
      </c>
      <c r="L29" s="512" t="s">
        <v>14</v>
      </c>
      <c r="M29" s="513"/>
      <c r="N29" s="514"/>
      <c r="O29" s="457" t="s">
        <v>234</v>
      </c>
      <c r="P29" s="458"/>
      <c r="Q29" s="459"/>
      <c r="R29" s="457" t="s">
        <v>903</v>
      </c>
      <c r="S29" s="458"/>
      <c r="T29" s="459"/>
      <c r="U29" s="457" t="s">
        <v>601</v>
      </c>
      <c r="V29" s="458"/>
      <c r="W29" s="459"/>
      <c r="AB29" s="457" t="s">
        <v>494</v>
      </c>
      <c r="AC29" s="458"/>
      <c r="AD29" s="459"/>
      <c r="AE29" s="457" t="s">
        <v>313</v>
      </c>
      <c r="AF29" s="458"/>
      <c r="AG29" s="459"/>
      <c r="AH29" s="457" t="s">
        <v>227</v>
      </c>
      <c r="AI29" s="458"/>
      <c r="AJ29" s="459"/>
      <c r="AK29" s="457" t="s">
        <v>172</v>
      </c>
      <c r="AL29" s="458"/>
      <c r="AM29" s="459"/>
      <c r="AN29" s="457" t="s">
        <v>79</v>
      </c>
      <c r="AO29" s="458"/>
      <c r="AP29" s="459"/>
      <c r="AQ29" s="457" t="s">
        <v>54</v>
      </c>
      <c r="AR29" s="458"/>
      <c r="AS29" s="459"/>
      <c r="AT29" s="457" t="s">
        <v>50</v>
      </c>
      <c r="AU29" s="458"/>
      <c r="AV29" s="459"/>
      <c r="AW29" s="457" t="s">
        <v>37</v>
      </c>
      <c r="AX29" s="458"/>
      <c r="AY29" s="459"/>
      <c r="AZ29" s="205"/>
    </row>
    <row r="30" spans="1:60" ht="14.95" customHeight="1" thickBot="1" x14ac:dyDescent="0.3">
      <c r="A30" s="408" t="s">
        <v>986</v>
      </c>
      <c r="B30" s="409">
        <v>0</v>
      </c>
      <c r="C30" s="410">
        <v>0</v>
      </c>
      <c r="D30" s="411">
        <v>0</v>
      </c>
      <c r="E30" s="412">
        <f t="shared" si="0"/>
        <v>0</v>
      </c>
      <c r="F30" s="167" t="s">
        <v>986</v>
      </c>
      <c r="G30" s="142">
        <v>16</v>
      </c>
      <c r="H30" s="280">
        <v>0</v>
      </c>
      <c r="I30" s="415">
        <v>0</v>
      </c>
      <c r="J30" s="169">
        <f t="shared" si="1"/>
        <v>16</v>
      </c>
      <c r="K30" s="480"/>
      <c r="L30" s="515"/>
      <c r="M30" s="516"/>
      <c r="N30" s="517"/>
      <c r="O30" s="460"/>
      <c r="P30" s="461"/>
      <c r="Q30" s="462"/>
      <c r="R30" s="460"/>
      <c r="S30" s="461"/>
      <c r="T30" s="462"/>
      <c r="U30" s="460"/>
      <c r="V30" s="461"/>
      <c r="W30" s="462"/>
      <c r="AB30" s="460"/>
      <c r="AC30" s="461"/>
      <c r="AD30" s="462"/>
      <c r="AE30" s="460"/>
      <c r="AF30" s="461"/>
      <c r="AG30" s="462"/>
      <c r="AH30" s="460"/>
      <c r="AI30" s="461"/>
      <c r="AJ30" s="462"/>
      <c r="AK30" s="460"/>
      <c r="AL30" s="461"/>
      <c r="AM30" s="462"/>
      <c r="AN30" s="460"/>
      <c r="AO30" s="461"/>
      <c r="AP30" s="462"/>
      <c r="AQ30" s="460"/>
      <c r="AR30" s="461"/>
      <c r="AS30" s="462"/>
      <c r="AT30" s="460"/>
      <c r="AU30" s="461"/>
      <c r="AV30" s="462"/>
      <c r="AW30" s="460"/>
      <c r="AX30" s="461"/>
      <c r="AY30" s="462"/>
      <c r="AZ30" s="92"/>
    </row>
    <row r="31" spans="1:60" ht="14.95" customHeight="1" thickBot="1" x14ac:dyDescent="0.3">
      <c r="A31" s="408" t="s">
        <v>381</v>
      </c>
      <c r="B31" s="409">
        <v>0</v>
      </c>
      <c r="C31" s="410">
        <v>1</v>
      </c>
      <c r="D31" s="411">
        <v>2</v>
      </c>
      <c r="E31" s="412">
        <f t="shared" si="0"/>
        <v>3</v>
      </c>
      <c r="F31" s="167" t="s">
        <v>381</v>
      </c>
      <c r="G31" s="142">
        <v>0</v>
      </c>
      <c r="H31" s="280">
        <v>5</v>
      </c>
      <c r="I31" s="415">
        <v>10</v>
      </c>
      <c r="J31" s="169">
        <f t="shared" si="1"/>
        <v>15</v>
      </c>
      <c r="K31" s="416" t="s">
        <v>21</v>
      </c>
      <c r="L31" s="163" t="s">
        <v>46</v>
      </c>
      <c r="M31" s="163" t="s">
        <v>9</v>
      </c>
      <c r="N31" s="163" t="s">
        <v>10</v>
      </c>
      <c r="O31" s="7" t="s">
        <v>46</v>
      </c>
      <c r="P31" s="7" t="s">
        <v>9</v>
      </c>
      <c r="Q31" s="7" t="s">
        <v>10</v>
      </c>
      <c r="R31" s="7" t="s">
        <v>46</v>
      </c>
      <c r="S31" s="7" t="s">
        <v>9</v>
      </c>
      <c r="T31" s="7" t="s">
        <v>10</v>
      </c>
      <c r="U31" s="7" t="s">
        <v>46</v>
      </c>
      <c r="V31" s="7" t="s">
        <v>9</v>
      </c>
      <c r="W31" s="7" t="s">
        <v>10</v>
      </c>
      <c r="AB31" s="148" t="s">
        <v>46</v>
      </c>
      <c r="AC31" s="7" t="s">
        <v>9</v>
      </c>
      <c r="AD31" s="7" t="s">
        <v>10</v>
      </c>
      <c r="AE31" s="148" t="s">
        <v>46</v>
      </c>
      <c r="AF31" s="7" t="s">
        <v>9</v>
      </c>
      <c r="AG31" s="7" t="s">
        <v>10</v>
      </c>
      <c r="AH31" s="148" t="s">
        <v>46</v>
      </c>
      <c r="AI31" s="7" t="s">
        <v>9</v>
      </c>
      <c r="AJ31" s="7" t="s">
        <v>10</v>
      </c>
      <c r="AK31" s="148" t="s">
        <v>46</v>
      </c>
      <c r="AL31" s="7" t="s">
        <v>9</v>
      </c>
      <c r="AM31" s="7" t="s">
        <v>10</v>
      </c>
      <c r="AN31" s="148" t="s">
        <v>46</v>
      </c>
      <c r="AO31" s="7" t="s">
        <v>9</v>
      </c>
      <c r="AP31" s="7" t="s">
        <v>10</v>
      </c>
      <c r="AQ31" s="148" t="s">
        <v>46</v>
      </c>
      <c r="AR31" s="7" t="s">
        <v>9</v>
      </c>
      <c r="AS31" s="7" t="s">
        <v>10</v>
      </c>
      <c r="AT31" s="148" t="s">
        <v>46</v>
      </c>
      <c r="AU31" s="7" t="s">
        <v>9</v>
      </c>
      <c r="AV31" s="7" t="s">
        <v>10</v>
      </c>
      <c r="AW31" s="148" t="s">
        <v>46</v>
      </c>
      <c r="AX31" s="7" t="s">
        <v>9</v>
      </c>
      <c r="AY31" s="7" t="s">
        <v>10</v>
      </c>
      <c r="AZ31" s="92"/>
    </row>
    <row r="32" spans="1:60" ht="14.95" customHeight="1" thickBot="1" x14ac:dyDescent="0.3">
      <c r="A32" s="408" t="s">
        <v>675</v>
      </c>
      <c r="B32" s="409">
        <v>0</v>
      </c>
      <c r="C32" s="410">
        <v>0</v>
      </c>
      <c r="D32" s="411">
        <v>0</v>
      </c>
      <c r="E32" s="412">
        <f t="shared" si="0"/>
        <v>0</v>
      </c>
      <c r="F32" s="167" t="s">
        <v>675</v>
      </c>
      <c r="G32" s="142">
        <v>0</v>
      </c>
      <c r="H32" s="280">
        <v>0</v>
      </c>
      <c r="I32" s="415">
        <v>0</v>
      </c>
      <c r="J32" s="169">
        <f t="shared" si="1"/>
        <v>0</v>
      </c>
      <c r="K32" s="408" t="s">
        <v>993</v>
      </c>
      <c r="L32" s="412">
        <v>2</v>
      </c>
      <c r="M32" s="412">
        <v>5</v>
      </c>
      <c r="N32" s="413">
        <f t="shared" ref="N32:N33" si="13">SUM(L32/M32)*100</f>
        <v>40</v>
      </c>
      <c r="O32" s="7">
        <v>25</v>
      </c>
      <c r="P32" s="153">
        <v>33</v>
      </c>
      <c r="Q32" s="6">
        <v>76</v>
      </c>
      <c r="R32" s="7">
        <v>0</v>
      </c>
      <c r="S32" s="153">
        <v>1</v>
      </c>
      <c r="T32" s="6">
        <v>0</v>
      </c>
      <c r="U32" s="7" t="s">
        <v>15</v>
      </c>
      <c r="V32" s="153" t="s">
        <v>15</v>
      </c>
      <c r="W32" s="6" t="s">
        <v>15</v>
      </c>
      <c r="AB32" s="148">
        <v>2</v>
      </c>
      <c r="AC32" s="153">
        <v>3</v>
      </c>
      <c r="AD32" s="6">
        <v>67</v>
      </c>
      <c r="AE32" s="148" t="s">
        <v>15</v>
      </c>
      <c r="AF32" s="153" t="s">
        <v>15</v>
      </c>
      <c r="AG32" s="6" t="s">
        <v>15</v>
      </c>
      <c r="AH32" s="6" t="s">
        <v>15</v>
      </c>
      <c r="AI32" s="153" t="s">
        <v>15</v>
      </c>
      <c r="AJ32" s="6" t="s">
        <v>15</v>
      </c>
      <c r="AK32" s="7" t="s">
        <v>15</v>
      </c>
      <c r="AL32" s="153" t="s">
        <v>15</v>
      </c>
      <c r="AM32" s="6" t="s">
        <v>15</v>
      </c>
      <c r="AN32" s="7" t="s">
        <v>15</v>
      </c>
      <c r="AO32" s="153" t="s">
        <v>15</v>
      </c>
      <c r="AP32" s="6" t="s">
        <v>15</v>
      </c>
      <c r="AQ32" s="7" t="s">
        <v>15</v>
      </c>
      <c r="AR32" s="153" t="s">
        <v>15</v>
      </c>
      <c r="AS32" s="6" t="s">
        <v>15</v>
      </c>
      <c r="AT32" s="7" t="s">
        <v>15</v>
      </c>
      <c r="AU32" s="153" t="s">
        <v>15</v>
      </c>
      <c r="AV32" s="6" t="s">
        <v>15</v>
      </c>
      <c r="AW32" s="7" t="s">
        <v>15</v>
      </c>
      <c r="AX32" s="153" t="s">
        <v>15</v>
      </c>
      <c r="AY32" s="6" t="s">
        <v>15</v>
      </c>
      <c r="AZ32" s="92"/>
      <c r="BF32" s="160"/>
      <c r="BG32" s="160"/>
      <c r="BH32" s="160"/>
    </row>
    <row r="33" spans="1:60" ht="14.95" customHeight="1" thickBot="1" x14ac:dyDescent="0.3">
      <c r="A33" s="408" t="s">
        <v>4</v>
      </c>
      <c r="B33" s="409">
        <v>1</v>
      </c>
      <c r="C33" s="410">
        <v>0</v>
      </c>
      <c r="D33" s="411">
        <v>0</v>
      </c>
      <c r="E33" s="412">
        <f t="shared" si="0"/>
        <v>1</v>
      </c>
      <c r="F33" s="167" t="s">
        <v>4</v>
      </c>
      <c r="G33" s="142">
        <v>7</v>
      </c>
      <c r="H33" s="280">
        <v>0</v>
      </c>
      <c r="I33" s="415">
        <v>0</v>
      </c>
      <c r="J33" s="169">
        <f t="shared" si="1"/>
        <v>7</v>
      </c>
      <c r="K33" s="408" t="s">
        <v>923</v>
      </c>
      <c r="L33" s="412">
        <v>4</v>
      </c>
      <c r="M33" s="412">
        <v>6</v>
      </c>
      <c r="N33" s="413">
        <f t="shared" si="13"/>
        <v>66.666666666666657</v>
      </c>
      <c r="O33" s="7" t="s">
        <v>15</v>
      </c>
      <c r="P33" s="153" t="s">
        <v>15</v>
      </c>
      <c r="Q33" s="6" t="s">
        <v>15</v>
      </c>
      <c r="R33" s="7" t="s">
        <v>15</v>
      </c>
      <c r="S33" s="153" t="s">
        <v>15</v>
      </c>
      <c r="T33" s="6" t="s">
        <v>15</v>
      </c>
      <c r="U33" s="7" t="s">
        <v>15</v>
      </c>
      <c r="V33" s="153" t="s">
        <v>15</v>
      </c>
      <c r="W33" s="6" t="s">
        <v>15</v>
      </c>
      <c r="AB33" s="6">
        <v>15</v>
      </c>
      <c r="AC33" s="7">
        <v>18</v>
      </c>
      <c r="AD33" s="153">
        <f>(AB33/AC33)*100</f>
        <v>83.333333333333343</v>
      </c>
      <c r="AE33" s="7">
        <v>3</v>
      </c>
      <c r="AF33" s="7">
        <v>4</v>
      </c>
      <c r="AG33" s="153">
        <v>75</v>
      </c>
      <c r="AH33" s="148">
        <v>2</v>
      </c>
      <c r="AI33" s="7">
        <v>3</v>
      </c>
      <c r="AJ33" s="153">
        <v>67</v>
      </c>
      <c r="AK33" s="7" t="s">
        <v>15</v>
      </c>
      <c r="AL33" s="153" t="s">
        <v>15</v>
      </c>
      <c r="AM33" s="6" t="s">
        <v>15</v>
      </c>
      <c r="AN33" s="148">
        <v>9</v>
      </c>
      <c r="AO33" s="7">
        <v>12</v>
      </c>
      <c r="AP33" s="7">
        <v>75</v>
      </c>
      <c r="AQ33" s="7" t="s">
        <v>15</v>
      </c>
      <c r="AR33" s="153" t="s">
        <v>15</v>
      </c>
      <c r="AS33" s="6" t="s">
        <v>15</v>
      </c>
      <c r="AT33" s="7" t="s">
        <v>15</v>
      </c>
      <c r="AU33" s="153" t="s">
        <v>15</v>
      </c>
      <c r="AV33" s="6" t="s">
        <v>15</v>
      </c>
      <c r="AW33" s="7" t="s">
        <v>15</v>
      </c>
      <c r="AX33" s="153" t="s">
        <v>15</v>
      </c>
      <c r="AY33" s="6" t="s">
        <v>15</v>
      </c>
      <c r="AZ33" s="92"/>
    </row>
    <row r="34" spans="1:60" ht="14.95" customHeight="1" thickBot="1" x14ac:dyDescent="0.3">
      <c r="A34" s="408" t="s">
        <v>256</v>
      </c>
      <c r="B34" s="409">
        <v>6</v>
      </c>
      <c r="C34" s="410">
        <v>3</v>
      </c>
      <c r="D34" s="411">
        <v>0</v>
      </c>
      <c r="E34" s="412">
        <f t="shared" si="0"/>
        <v>9</v>
      </c>
      <c r="F34" s="167" t="s">
        <v>256</v>
      </c>
      <c r="G34" s="142">
        <v>30</v>
      </c>
      <c r="H34" s="280">
        <v>15</v>
      </c>
      <c r="I34" s="415">
        <v>0</v>
      </c>
      <c r="J34" s="169">
        <f t="shared" si="1"/>
        <v>45</v>
      </c>
      <c r="K34" s="408" t="s">
        <v>822</v>
      </c>
      <c r="L34" s="412" t="s">
        <v>15</v>
      </c>
      <c r="M34" s="412" t="s">
        <v>15</v>
      </c>
      <c r="N34" s="413" t="s">
        <v>15</v>
      </c>
      <c r="O34" s="7">
        <v>2</v>
      </c>
      <c r="P34" s="153">
        <v>3</v>
      </c>
      <c r="Q34" s="6">
        <v>67</v>
      </c>
      <c r="R34" s="7" t="s">
        <v>15</v>
      </c>
      <c r="S34" s="153" t="s">
        <v>15</v>
      </c>
      <c r="T34" s="6" t="s">
        <v>15</v>
      </c>
      <c r="U34" s="7" t="s">
        <v>15</v>
      </c>
      <c r="V34" s="153" t="s">
        <v>15</v>
      </c>
      <c r="W34" s="6" t="s">
        <v>15</v>
      </c>
      <c r="AB34" s="6" t="s">
        <v>15</v>
      </c>
      <c r="AC34" s="153" t="s">
        <v>15</v>
      </c>
      <c r="AD34" s="6" t="s">
        <v>15</v>
      </c>
      <c r="AE34" s="7" t="s">
        <v>15</v>
      </c>
      <c r="AF34" s="153" t="s">
        <v>15</v>
      </c>
      <c r="AG34" s="6" t="s">
        <v>15</v>
      </c>
      <c r="AH34" s="7" t="s">
        <v>15</v>
      </c>
      <c r="AI34" s="153" t="s">
        <v>15</v>
      </c>
      <c r="AJ34" s="6" t="s">
        <v>15</v>
      </c>
      <c r="AK34" s="7" t="s">
        <v>15</v>
      </c>
      <c r="AL34" s="153" t="s">
        <v>15</v>
      </c>
      <c r="AM34" s="6" t="s">
        <v>15</v>
      </c>
      <c r="AN34" s="148" t="s">
        <v>15</v>
      </c>
      <c r="AO34" s="7" t="s">
        <v>15</v>
      </c>
      <c r="AP34" s="7" t="s">
        <v>15</v>
      </c>
      <c r="AQ34" s="148" t="s">
        <v>15</v>
      </c>
      <c r="AR34" s="7" t="s">
        <v>15</v>
      </c>
      <c r="AS34" s="7" t="s">
        <v>15</v>
      </c>
      <c r="AT34" s="148" t="s">
        <v>15</v>
      </c>
      <c r="AU34" s="7" t="s">
        <v>15</v>
      </c>
      <c r="AV34" s="7" t="s">
        <v>15</v>
      </c>
      <c r="AW34" s="7"/>
      <c r="AX34" s="7"/>
      <c r="AY34" s="7"/>
      <c r="AZ34" s="92"/>
    </row>
    <row r="35" spans="1:60" ht="14.95" customHeight="1" thickBot="1" x14ac:dyDescent="0.3">
      <c r="A35" s="408" t="s">
        <v>73</v>
      </c>
      <c r="B35" s="409">
        <v>3</v>
      </c>
      <c r="C35" s="410">
        <v>1</v>
      </c>
      <c r="D35" s="411">
        <v>0</v>
      </c>
      <c r="E35" s="412">
        <f t="shared" si="0"/>
        <v>4</v>
      </c>
      <c r="F35" s="167" t="s">
        <v>73</v>
      </c>
      <c r="G35" s="142">
        <v>15</v>
      </c>
      <c r="H35" s="280">
        <v>5</v>
      </c>
      <c r="I35" s="415">
        <v>0</v>
      </c>
      <c r="J35" s="169">
        <f t="shared" si="1"/>
        <v>20</v>
      </c>
      <c r="K35" s="408" t="s">
        <v>922</v>
      </c>
      <c r="L35" s="412">
        <v>3</v>
      </c>
      <c r="M35" s="412">
        <v>6</v>
      </c>
      <c r="N35" s="413">
        <f t="shared" ref="N35" si="14">SUM(L35/M35)*100</f>
        <v>50</v>
      </c>
      <c r="O35" s="7" t="s">
        <v>15</v>
      </c>
      <c r="P35" s="153" t="s">
        <v>15</v>
      </c>
      <c r="Q35" s="6" t="s">
        <v>15</v>
      </c>
      <c r="R35" s="7" t="s">
        <v>15</v>
      </c>
      <c r="S35" s="153" t="s">
        <v>15</v>
      </c>
      <c r="T35" s="6" t="s">
        <v>15</v>
      </c>
      <c r="U35" s="7" t="s">
        <v>15</v>
      </c>
      <c r="V35" s="153" t="s">
        <v>15</v>
      </c>
      <c r="W35" s="6" t="s">
        <v>15</v>
      </c>
      <c r="AB35" s="148" t="s">
        <v>15</v>
      </c>
      <c r="AC35" s="153" t="s">
        <v>15</v>
      </c>
      <c r="AD35" s="6" t="s">
        <v>15</v>
      </c>
      <c r="AE35" s="148" t="s">
        <v>15</v>
      </c>
      <c r="AF35" s="153" t="s">
        <v>15</v>
      </c>
      <c r="AG35" s="6" t="s">
        <v>15</v>
      </c>
      <c r="AH35" s="6" t="s">
        <v>15</v>
      </c>
      <c r="AI35" s="153" t="s">
        <v>15</v>
      </c>
      <c r="AJ35" s="6" t="s">
        <v>15</v>
      </c>
      <c r="AK35" s="7" t="s">
        <v>15</v>
      </c>
      <c r="AL35" s="153" t="s">
        <v>15</v>
      </c>
      <c r="AM35" s="6" t="s">
        <v>15</v>
      </c>
      <c r="AN35" s="7" t="s">
        <v>15</v>
      </c>
      <c r="AO35" s="153" t="s">
        <v>15</v>
      </c>
      <c r="AP35" s="6" t="s">
        <v>15</v>
      </c>
      <c r="AQ35" s="7" t="s">
        <v>15</v>
      </c>
      <c r="AR35" s="153" t="s">
        <v>15</v>
      </c>
      <c r="AS35" s="6" t="s">
        <v>15</v>
      </c>
      <c r="AT35" s="7" t="s">
        <v>15</v>
      </c>
      <c r="AU35" s="153" t="s">
        <v>15</v>
      </c>
      <c r="AV35" s="6" t="s">
        <v>15</v>
      </c>
      <c r="AW35" s="7" t="s">
        <v>15</v>
      </c>
      <c r="AX35" s="153" t="s">
        <v>15</v>
      </c>
      <c r="AY35" s="6" t="s">
        <v>15</v>
      </c>
      <c r="AZ35" s="92"/>
      <c r="BF35" s="160"/>
      <c r="BG35" s="160"/>
      <c r="BH35" s="160"/>
    </row>
    <row r="36" spans="1:60" ht="14.95" customHeight="1" thickBot="1" x14ac:dyDescent="0.3">
      <c r="A36" s="408" t="s">
        <v>923</v>
      </c>
      <c r="B36" s="409">
        <v>1</v>
      </c>
      <c r="C36" s="410">
        <v>3</v>
      </c>
      <c r="D36" s="411">
        <v>0</v>
      </c>
      <c r="E36" s="412">
        <f t="shared" si="0"/>
        <v>4</v>
      </c>
      <c r="F36" s="167" t="s">
        <v>923</v>
      </c>
      <c r="G36" s="142">
        <v>66</v>
      </c>
      <c r="H36" s="280">
        <v>44</v>
      </c>
      <c r="I36" s="415">
        <v>9</v>
      </c>
      <c r="J36" s="169">
        <f t="shared" si="1"/>
        <v>119</v>
      </c>
      <c r="K36" s="408" t="s">
        <v>307</v>
      </c>
      <c r="L36" s="412" t="s">
        <v>15</v>
      </c>
      <c r="M36" s="412" t="s">
        <v>15</v>
      </c>
      <c r="N36" s="413" t="s">
        <v>15</v>
      </c>
      <c r="O36" s="7">
        <v>2</v>
      </c>
      <c r="P36" s="153">
        <v>2</v>
      </c>
      <c r="Q36" s="6">
        <v>100</v>
      </c>
      <c r="R36" s="7" t="s">
        <v>15</v>
      </c>
      <c r="S36" s="153" t="s">
        <v>15</v>
      </c>
      <c r="T36" s="6" t="s">
        <v>15</v>
      </c>
      <c r="U36" s="7" t="s">
        <v>15</v>
      </c>
      <c r="V36" s="153" t="s">
        <v>15</v>
      </c>
      <c r="W36" s="6" t="s">
        <v>15</v>
      </c>
      <c r="AB36" s="148" t="s">
        <v>15</v>
      </c>
      <c r="AC36" s="153" t="s">
        <v>15</v>
      </c>
      <c r="AD36" s="6" t="s">
        <v>15</v>
      </c>
      <c r="AE36" s="148">
        <v>14</v>
      </c>
      <c r="AF36" s="153">
        <v>20</v>
      </c>
      <c r="AG36" s="6">
        <v>70</v>
      </c>
      <c r="AH36" s="6">
        <v>2</v>
      </c>
      <c r="AI36" s="153">
        <v>4</v>
      </c>
      <c r="AJ36" s="6">
        <v>50</v>
      </c>
      <c r="AK36" s="7" t="s">
        <v>15</v>
      </c>
      <c r="AL36" s="153" t="s">
        <v>15</v>
      </c>
      <c r="AM36" s="6" t="s">
        <v>15</v>
      </c>
      <c r="AN36" s="7">
        <v>12</v>
      </c>
      <c r="AO36" s="153">
        <v>20</v>
      </c>
      <c r="AP36" s="6">
        <v>60</v>
      </c>
      <c r="AQ36" s="7" t="s">
        <v>15</v>
      </c>
      <c r="AR36" s="153" t="s">
        <v>15</v>
      </c>
      <c r="AS36" s="6" t="s">
        <v>15</v>
      </c>
      <c r="AT36" s="7" t="s">
        <v>15</v>
      </c>
      <c r="AU36" s="153" t="s">
        <v>15</v>
      </c>
      <c r="AV36" s="6" t="s">
        <v>15</v>
      </c>
      <c r="AW36" s="7" t="s">
        <v>15</v>
      </c>
      <c r="AX36" s="153" t="s">
        <v>15</v>
      </c>
      <c r="AY36" s="6" t="s">
        <v>15</v>
      </c>
      <c r="BF36" s="160"/>
      <c r="BG36" s="160"/>
      <c r="BH36" s="160"/>
    </row>
    <row r="37" spans="1:60" ht="14.95" customHeight="1" thickBot="1" x14ac:dyDescent="0.3">
      <c r="A37" s="408" t="s">
        <v>74</v>
      </c>
      <c r="B37" s="409">
        <v>0</v>
      </c>
      <c r="C37" s="410">
        <v>0</v>
      </c>
      <c r="D37" s="411">
        <v>0</v>
      </c>
      <c r="E37" s="412">
        <f t="shared" si="0"/>
        <v>0</v>
      </c>
      <c r="F37" s="167" t="s">
        <v>74</v>
      </c>
      <c r="G37" s="142">
        <v>0</v>
      </c>
      <c r="H37" s="280">
        <v>0</v>
      </c>
      <c r="I37" s="415">
        <v>0</v>
      </c>
      <c r="J37" s="169">
        <f t="shared" si="1"/>
        <v>0</v>
      </c>
      <c r="K37" s="408" t="s">
        <v>63</v>
      </c>
      <c r="L37" s="412">
        <v>1</v>
      </c>
      <c r="M37" s="412">
        <v>2</v>
      </c>
      <c r="N37" s="413">
        <f t="shared" ref="N37" si="15">SUM(L37/M37)*100</f>
        <v>50</v>
      </c>
      <c r="O37" s="7" t="s">
        <v>15</v>
      </c>
      <c r="P37" s="153" t="s">
        <v>15</v>
      </c>
      <c r="Q37" s="6" t="s">
        <v>15</v>
      </c>
      <c r="R37" s="7" t="s">
        <v>15</v>
      </c>
      <c r="S37" s="153" t="s">
        <v>15</v>
      </c>
      <c r="T37" s="6" t="s">
        <v>15</v>
      </c>
      <c r="U37" s="7" t="s">
        <v>15</v>
      </c>
      <c r="V37" s="153" t="s">
        <v>15</v>
      </c>
      <c r="W37" s="6" t="s">
        <v>15</v>
      </c>
      <c r="AB37" s="148" t="s">
        <v>15</v>
      </c>
      <c r="AC37" s="153" t="s">
        <v>15</v>
      </c>
      <c r="AD37" s="6" t="s">
        <v>15</v>
      </c>
      <c r="AE37" s="148" t="s">
        <v>15</v>
      </c>
      <c r="AF37" s="153" t="s">
        <v>15</v>
      </c>
      <c r="AG37" s="6" t="s">
        <v>15</v>
      </c>
      <c r="AH37" s="6" t="s">
        <v>15</v>
      </c>
      <c r="AI37" s="153" t="s">
        <v>15</v>
      </c>
      <c r="AJ37" s="6" t="s">
        <v>15</v>
      </c>
      <c r="AK37" s="7" t="s">
        <v>15</v>
      </c>
      <c r="AL37" s="153" t="s">
        <v>15</v>
      </c>
      <c r="AM37" s="6" t="s">
        <v>15</v>
      </c>
      <c r="AN37" s="7" t="s">
        <v>15</v>
      </c>
      <c r="AO37" s="153" t="s">
        <v>15</v>
      </c>
      <c r="AP37" s="6" t="s">
        <v>15</v>
      </c>
      <c r="AQ37" s="7" t="s">
        <v>15</v>
      </c>
      <c r="AR37" s="153" t="s">
        <v>15</v>
      </c>
      <c r="AS37" s="6" t="s">
        <v>15</v>
      </c>
      <c r="AT37" s="7" t="s">
        <v>15</v>
      </c>
      <c r="AU37" s="153" t="s">
        <v>15</v>
      </c>
      <c r="AV37" s="6" t="s">
        <v>15</v>
      </c>
      <c r="AW37" s="7" t="s">
        <v>15</v>
      </c>
      <c r="AX37" s="153" t="s">
        <v>15</v>
      </c>
      <c r="AY37" s="6" t="s">
        <v>15</v>
      </c>
      <c r="AZ37" s="92"/>
    </row>
    <row r="38" spans="1:60" ht="14.95" customHeight="1" thickBot="1" x14ac:dyDescent="0.3">
      <c r="A38" s="408" t="s">
        <v>22</v>
      </c>
      <c r="B38" s="409">
        <v>1</v>
      </c>
      <c r="C38" s="410">
        <v>0</v>
      </c>
      <c r="D38" s="411">
        <v>0</v>
      </c>
      <c r="E38" s="412">
        <f t="shared" si="0"/>
        <v>1</v>
      </c>
      <c r="F38" s="167" t="s">
        <v>22</v>
      </c>
      <c r="G38" s="142">
        <v>5</v>
      </c>
      <c r="H38" s="280">
        <v>0</v>
      </c>
      <c r="I38" s="415">
        <v>0</v>
      </c>
      <c r="J38" s="169">
        <f t="shared" si="1"/>
        <v>5</v>
      </c>
      <c r="K38" s="471" t="s">
        <v>1014</v>
      </c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546" t="s">
        <v>1039</v>
      </c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47"/>
      <c r="AZ38" s="547"/>
      <c r="BA38" s="547"/>
      <c r="BB38" s="547"/>
    </row>
    <row r="39" spans="1:60" ht="14.95" customHeight="1" thickBot="1" x14ac:dyDescent="0.3">
      <c r="A39" s="408" t="s">
        <v>200</v>
      </c>
      <c r="B39" s="409">
        <v>3</v>
      </c>
      <c r="C39" s="410">
        <v>0</v>
      </c>
      <c r="D39" s="411">
        <v>0</v>
      </c>
      <c r="E39" s="412">
        <f t="shared" si="0"/>
        <v>3</v>
      </c>
      <c r="F39" s="167" t="s">
        <v>200</v>
      </c>
      <c r="G39" s="142">
        <v>15</v>
      </c>
      <c r="H39" s="280">
        <v>0</v>
      </c>
      <c r="I39" s="415">
        <v>0</v>
      </c>
      <c r="J39" s="169">
        <f t="shared" si="1"/>
        <v>15</v>
      </c>
      <c r="K39" s="471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AZ39" s="160"/>
      <c r="BA39" s="160"/>
      <c r="BB39" s="160"/>
    </row>
    <row r="40" spans="1:60" ht="14.95" customHeight="1" thickBot="1" x14ac:dyDescent="0.3">
      <c r="A40" s="408" t="s">
        <v>988</v>
      </c>
      <c r="B40" s="409">
        <v>0</v>
      </c>
      <c r="C40" s="410">
        <v>0</v>
      </c>
      <c r="D40" s="411">
        <v>0</v>
      </c>
      <c r="E40" s="412">
        <f t="shared" si="0"/>
        <v>0</v>
      </c>
      <c r="F40" s="167" t="s">
        <v>988</v>
      </c>
      <c r="G40" s="142">
        <v>0</v>
      </c>
      <c r="H40" s="280">
        <v>0</v>
      </c>
      <c r="I40" s="415">
        <v>0</v>
      </c>
      <c r="J40" s="169">
        <f t="shared" si="1"/>
        <v>0</v>
      </c>
      <c r="K40" s="471" t="s">
        <v>21</v>
      </c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AZ40" s="160"/>
      <c r="BA40" s="160"/>
      <c r="BB40" s="160"/>
    </row>
    <row r="41" spans="1:60" ht="14.95" customHeight="1" thickBot="1" x14ac:dyDescent="0.3">
      <c r="A41" s="408" t="s">
        <v>581</v>
      </c>
      <c r="B41" s="409">
        <v>0</v>
      </c>
      <c r="C41" s="410">
        <v>0</v>
      </c>
      <c r="D41" s="411">
        <v>0</v>
      </c>
      <c r="E41" s="412">
        <f t="shared" si="0"/>
        <v>0</v>
      </c>
      <c r="F41" s="167" t="s">
        <v>581</v>
      </c>
      <c r="G41" s="142">
        <v>0</v>
      </c>
      <c r="H41" s="280">
        <v>0</v>
      </c>
      <c r="I41" s="415">
        <v>0</v>
      </c>
      <c r="J41" s="169">
        <f t="shared" si="1"/>
        <v>0</v>
      </c>
      <c r="AW41" s="160"/>
      <c r="AX41" s="160"/>
      <c r="AY41" s="160"/>
      <c r="BC41" s="545"/>
      <c r="BD41" s="545"/>
      <c r="BE41" s="545"/>
    </row>
    <row r="42" spans="1:60" ht="14.95" customHeight="1" thickBot="1" x14ac:dyDescent="0.3">
      <c r="A42" s="408" t="s">
        <v>989</v>
      </c>
      <c r="B42" s="409">
        <v>2</v>
      </c>
      <c r="C42" s="410">
        <v>0</v>
      </c>
      <c r="D42" s="411">
        <v>0</v>
      </c>
      <c r="E42" s="412">
        <f t="shared" si="0"/>
        <v>2</v>
      </c>
      <c r="F42" s="167" t="s">
        <v>989</v>
      </c>
      <c r="G42" s="142">
        <v>10</v>
      </c>
      <c r="H42" s="280">
        <v>0</v>
      </c>
      <c r="I42" s="415">
        <v>0</v>
      </c>
      <c r="J42" s="169">
        <f t="shared" si="1"/>
        <v>10</v>
      </c>
      <c r="AW42" s="86"/>
      <c r="AX42" s="86"/>
      <c r="AY42" s="86"/>
      <c r="BC42" s="545"/>
      <c r="BD42" s="545"/>
      <c r="BE42" s="545"/>
    </row>
    <row r="43" spans="1:60" ht="14.95" customHeight="1" thickBot="1" x14ac:dyDescent="0.3">
      <c r="A43" s="408" t="s">
        <v>822</v>
      </c>
      <c r="B43" s="409">
        <v>0</v>
      </c>
      <c r="C43" s="410">
        <v>0</v>
      </c>
      <c r="D43" s="411">
        <v>0</v>
      </c>
      <c r="E43" s="412">
        <f t="shared" si="0"/>
        <v>0</v>
      </c>
      <c r="F43" s="167" t="s">
        <v>822</v>
      </c>
      <c r="G43" s="142">
        <v>0</v>
      </c>
      <c r="H43" s="280">
        <v>0</v>
      </c>
      <c r="I43" s="415">
        <v>0</v>
      </c>
      <c r="J43" s="169">
        <f t="shared" si="1"/>
        <v>0</v>
      </c>
      <c r="AW43" s="86"/>
      <c r="AX43" s="86"/>
      <c r="AY43" s="86"/>
      <c r="BC43" s="86"/>
      <c r="BD43" s="86"/>
      <c r="BE43" s="86"/>
    </row>
    <row r="44" spans="1:60" ht="14.95" customHeight="1" thickBot="1" x14ac:dyDescent="0.3">
      <c r="A44" s="408" t="s">
        <v>922</v>
      </c>
      <c r="B44" s="409">
        <v>0</v>
      </c>
      <c r="C44" s="410">
        <v>0</v>
      </c>
      <c r="D44" s="411">
        <v>0</v>
      </c>
      <c r="E44" s="412">
        <f t="shared" si="0"/>
        <v>0</v>
      </c>
      <c r="F44" s="167" t="s">
        <v>922</v>
      </c>
      <c r="G44" s="142">
        <v>0</v>
      </c>
      <c r="H44" s="280">
        <v>2</v>
      </c>
      <c r="I44" s="415">
        <v>7</v>
      </c>
      <c r="J44" s="169">
        <f t="shared" si="1"/>
        <v>9</v>
      </c>
      <c r="AW44" s="86"/>
      <c r="AX44" s="86"/>
      <c r="AY44" s="173"/>
      <c r="BC44" s="86"/>
      <c r="BD44" s="86"/>
      <c r="BE44" s="86"/>
    </row>
    <row r="45" spans="1:60" ht="14.95" customHeight="1" thickBot="1" x14ac:dyDescent="0.3">
      <c r="A45" s="408" t="s">
        <v>820</v>
      </c>
      <c r="B45" s="409">
        <v>0</v>
      </c>
      <c r="C45" s="410">
        <v>0</v>
      </c>
      <c r="D45" s="411">
        <v>0</v>
      </c>
      <c r="E45" s="412">
        <f t="shared" si="0"/>
        <v>0</v>
      </c>
      <c r="F45" s="167" t="s">
        <v>820</v>
      </c>
      <c r="G45" s="142">
        <v>0</v>
      </c>
      <c r="H45" s="280">
        <v>0</v>
      </c>
      <c r="I45" s="415">
        <v>0</v>
      </c>
      <c r="J45" s="169">
        <f t="shared" si="1"/>
        <v>0</v>
      </c>
      <c r="AW45" s="86"/>
      <c r="AX45" s="86"/>
      <c r="AY45" s="173"/>
      <c r="BC45" s="86"/>
      <c r="BD45" s="86"/>
      <c r="BE45" s="173"/>
    </row>
    <row r="46" spans="1:60" ht="14.95" thickBot="1" x14ac:dyDescent="0.3">
      <c r="A46" s="408" t="s">
        <v>281</v>
      </c>
      <c r="B46" s="409">
        <v>2</v>
      </c>
      <c r="C46" s="410">
        <v>0</v>
      </c>
      <c r="D46" s="411">
        <v>0</v>
      </c>
      <c r="E46" s="412">
        <f t="shared" si="0"/>
        <v>2</v>
      </c>
      <c r="F46" s="167" t="s">
        <v>281</v>
      </c>
      <c r="G46" s="142">
        <v>10</v>
      </c>
      <c r="H46" s="280">
        <v>0</v>
      </c>
      <c r="I46" s="415">
        <v>0</v>
      </c>
      <c r="J46" s="169">
        <f t="shared" si="1"/>
        <v>10</v>
      </c>
      <c r="BC46" s="86"/>
      <c r="BD46" s="86"/>
      <c r="BE46" s="173"/>
    </row>
    <row r="47" spans="1:60" ht="14.95" thickBot="1" x14ac:dyDescent="0.3">
      <c r="A47" s="408" t="s">
        <v>677</v>
      </c>
      <c r="B47" s="409">
        <v>2</v>
      </c>
      <c r="C47" s="410">
        <v>2</v>
      </c>
      <c r="D47" s="411">
        <v>2</v>
      </c>
      <c r="E47" s="412">
        <f t="shared" si="0"/>
        <v>6</v>
      </c>
      <c r="F47" s="167" t="s">
        <v>677</v>
      </c>
      <c r="G47" s="142">
        <v>10</v>
      </c>
      <c r="H47" s="280">
        <v>10</v>
      </c>
      <c r="I47" s="415">
        <v>10</v>
      </c>
      <c r="J47" s="169">
        <f t="shared" si="1"/>
        <v>30</v>
      </c>
      <c r="BC47" s="86"/>
      <c r="BD47" s="86"/>
      <c r="BE47" s="173"/>
    </row>
    <row r="48" spans="1:60" ht="14.95" thickBot="1" x14ac:dyDescent="0.3">
      <c r="A48" s="408" t="s">
        <v>150</v>
      </c>
      <c r="B48" s="409">
        <v>1</v>
      </c>
      <c r="C48" s="410">
        <v>0</v>
      </c>
      <c r="D48" s="411">
        <v>0</v>
      </c>
      <c r="E48" s="412">
        <f t="shared" si="0"/>
        <v>1</v>
      </c>
      <c r="F48" s="167" t="s">
        <v>150</v>
      </c>
      <c r="G48" s="142">
        <v>5</v>
      </c>
      <c r="H48" s="280">
        <v>0</v>
      </c>
      <c r="I48" s="415">
        <v>0</v>
      </c>
      <c r="J48" s="169">
        <f t="shared" si="1"/>
        <v>5</v>
      </c>
      <c r="BC48" s="86"/>
      <c r="BD48" s="86"/>
      <c r="BE48" s="86"/>
    </row>
    <row r="49" spans="1:10" ht="14.95" thickBot="1" x14ac:dyDescent="0.3">
      <c r="A49" s="408" t="s">
        <v>307</v>
      </c>
      <c r="B49" s="409">
        <v>2</v>
      </c>
      <c r="C49" s="410">
        <v>0</v>
      </c>
      <c r="D49" s="411">
        <v>1</v>
      </c>
      <c r="E49" s="412">
        <f t="shared" ref="E49" si="16">SUM(B49:D49)</f>
        <v>3</v>
      </c>
      <c r="F49" s="167" t="s">
        <v>307</v>
      </c>
      <c r="G49" s="142">
        <v>10</v>
      </c>
      <c r="H49" s="280">
        <v>0</v>
      </c>
      <c r="I49" s="415">
        <v>5</v>
      </c>
      <c r="J49" s="169">
        <f t="shared" si="1"/>
        <v>15</v>
      </c>
    </row>
    <row r="50" spans="1:10" ht="14.95" thickBot="1" x14ac:dyDescent="0.3">
      <c r="A50" s="408" t="s">
        <v>5</v>
      </c>
      <c r="B50" s="409">
        <v>0</v>
      </c>
      <c r="C50" s="410">
        <v>0</v>
      </c>
      <c r="D50" s="411">
        <v>0</v>
      </c>
      <c r="E50" s="412">
        <f t="shared" si="0"/>
        <v>0</v>
      </c>
      <c r="F50" s="167" t="s">
        <v>5</v>
      </c>
      <c r="G50" s="142">
        <v>0</v>
      </c>
      <c r="H50" s="280">
        <v>0</v>
      </c>
      <c r="I50" s="415">
        <v>0</v>
      </c>
      <c r="J50" s="169">
        <f t="shared" si="1"/>
        <v>0</v>
      </c>
    </row>
    <row r="51" spans="1:10" ht="14.95" thickBot="1" x14ac:dyDescent="0.3">
      <c r="A51" s="408" t="s">
        <v>63</v>
      </c>
      <c r="B51" s="409">
        <v>0</v>
      </c>
      <c r="C51" s="410">
        <v>0</v>
      </c>
      <c r="D51" s="411">
        <v>0</v>
      </c>
      <c r="E51" s="412">
        <f t="shared" ref="E51" si="17">SUM(B51:D51)</f>
        <v>0</v>
      </c>
      <c r="F51" s="167" t="s">
        <v>63</v>
      </c>
      <c r="G51" s="142">
        <v>0</v>
      </c>
      <c r="H51" s="280">
        <v>2</v>
      </c>
      <c r="I51" s="415">
        <v>3</v>
      </c>
      <c r="J51" s="169">
        <f t="shared" ref="J51" si="18">SUM(G51:I51)</f>
        <v>5</v>
      </c>
    </row>
    <row r="52" spans="1:10" ht="14.95" thickBot="1" x14ac:dyDescent="0.3">
      <c r="A52" s="408" t="s">
        <v>3</v>
      </c>
      <c r="B52" s="409">
        <f>SUM(B3:B51)</f>
        <v>36</v>
      </c>
      <c r="C52" s="410">
        <f>SUM(C3:C51)</f>
        <v>17</v>
      </c>
      <c r="D52" s="411">
        <f>SUM(D3:D51)</f>
        <v>13</v>
      </c>
      <c r="E52" s="412">
        <f t="shared" si="0"/>
        <v>66</v>
      </c>
      <c r="F52" s="167" t="s">
        <v>3</v>
      </c>
      <c r="G52" s="142">
        <f>SUM(G3:G51)</f>
        <v>267</v>
      </c>
      <c r="H52" s="280">
        <f>SUM(H3:H51)</f>
        <v>118</v>
      </c>
      <c r="I52" s="415">
        <f>SUM(I3:I51)</f>
        <v>89</v>
      </c>
      <c r="J52" s="169">
        <f t="shared" si="1"/>
        <v>474</v>
      </c>
    </row>
    <row r="53" spans="1:10" x14ac:dyDescent="0.25">
      <c r="B53" s="66"/>
      <c r="F53" s="37"/>
      <c r="G53" s="134"/>
      <c r="H53" s="37"/>
      <c r="I53" s="37"/>
      <c r="J53" s="37"/>
    </row>
    <row r="54" spans="1:10" ht="14.95" thickBot="1" x14ac:dyDescent="0.3">
      <c r="A54" t="s">
        <v>12</v>
      </c>
      <c r="B54" s="66"/>
      <c r="F54" s="35"/>
      <c r="G54" s="133"/>
      <c r="H54" s="35"/>
      <c r="I54" s="35"/>
      <c r="J54" s="35"/>
    </row>
    <row r="55" spans="1:10" ht="14.95" thickBot="1" x14ac:dyDescent="0.3">
      <c r="A55" s="403" t="s">
        <v>0</v>
      </c>
      <c r="B55" s="404" t="s">
        <v>226</v>
      </c>
      <c r="C55" s="405" t="s">
        <v>30</v>
      </c>
      <c r="D55" s="406" t="s">
        <v>339</v>
      </c>
      <c r="E55" s="407" t="s">
        <v>1</v>
      </c>
      <c r="F55" s="165" t="s">
        <v>2</v>
      </c>
      <c r="G55" s="141" t="s">
        <v>226</v>
      </c>
      <c r="H55" s="279" t="s">
        <v>30</v>
      </c>
      <c r="I55" s="414" t="s">
        <v>339</v>
      </c>
      <c r="J55" s="168" t="s">
        <v>1</v>
      </c>
    </row>
    <row r="56" spans="1:10" ht="14.95" thickBot="1" x14ac:dyDescent="0.3">
      <c r="A56" s="408" t="s">
        <v>256</v>
      </c>
      <c r="B56" s="409">
        <v>6</v>
      </c>
      <c r="C56" s="410">
        <v>3</v>
      </c>
      <c r="D56" s="411">
        <v>0</v>
      </c>
      <c r="E56" s="412">
        <f t="shared" ref="E56:E87" si="19">SUM(B56:D56)</f>
        <v>9</v>
      </c>
      <c r="F56" s="166" t="s">
        <v>923</v>
      </c>
      <c r="G56" s="142">
        <v>66</v>
      </c>
      <c r="H56" s="280">
        <v>44</v>
      </c>
      <c r="I56" s="415">
        <v>9</v>
      </c>
      <c r="J56" s="169">
        <f t="shared" ref="J56:J87" si="20">SUM(G56:I56)</f>
        <v>119</v>
      </c>
    </row>
    <row r="57" spans="1:10" ht="14.95" thickBot="1" x14ac:dyDescent="0.3">
      <c r="A57" s="408" t="s">
        <v>677</v>
      </c>
      <c r="B57" s="409">
        <v>2</v>
      </c>
      <c r="C57" s="410">
        <v>2</v>
      </c>
      <c r="D57" s="411">
        <v>2</v>
      </c>
      <c r="E57" s="412">
        <f t="shared" si="19"/>
        <v>6</v>
      </c>
      <c r="F57" s="166" t="s">
        <v>256</v>
      </c>
      <c r="G57" s="142">
        <v>30</v>
      </c>
      <c r="H57" s="280">
        <v>15</v>
      </c>
      <c r="I57" s="415">
        <v>0</v>
      </c>
      <c r="J57" s="169">
        <f t="shared" si="20"/>
        <v>45</v>
      </c>
    </row>
    <row r="58" spans="1:10" ht="14.95" thickBot="1" x14ac:dyDescent="0.3">
      <c r="A58" s="408" t="s">
        <v>921</v>
      </c>
      <c r="B58" s="409">
        <v>2</v>
      </c>
      <c r="C58" s="410">
        <v>1</v>
      </c>
      <c r="D58" s="411">
        <v>2</v>
      </c>
      <c r="E58" s="412">
        <f t="shared" si="19"/>
        <v>5</v>
      </c>
      <c r="F58" s="166" t="s">
        <v>677</v>
      </c>
      <c r="G58" s="142">
        <v>10</v>
      </c>
      <c r="H58" s="280">
        <v>10</v>
      </c>
      <c r="I58" s="415">
        <v>10</v>
      </c>
      <c r="J58" s="169">
        <f t="shared" si="20"/>
        <v>30</v>
      </c>
    </row>
    <row r="59" spans="1:10" ht="14.95" thickBot="1" x14ac:dyDescent="0.3">
      <c r="A59" s="408" t="s">
        <v>73</v>
      </c>
      <c r="B59" s="409">
        <v>3</v>
      </c>
      <c r="C59" s="410">
        <v>1</v>
      </c>
      <c r="D59" s="411">
        <v>0</v>
      </c>
      <c r="E59" s="412">
        <f t="shared" si="19"/>
        <v>4</v>
      </c>
      <c r="F59" s="166" t="s">
        <v>921</v>
      </c>
      <c r="G59" s="142">
        <v>10</v>
      </c>
      <c r="H59" s="280">
        <v>5</v>
      </c>
      <c r="I59" s="415">
        <v>10</v>
      </c>
      <c r="J59" s="169">
        <f t="shared" si="20"/>
        <v>25</v>
      </c>
    </row>
    <row r="60" spans="1:10" ht="14.95" thickBot="1" x14ac:dyDescent="0.3">
      <c r="A60" s="408" t="s">
        <v>923</v>
      </c>
      <c r="B60" s="409">
        <v>1</v>
      </c>
      <c r="C60" s="410">
        <v>3</v>
      </c>
      <c r="D60" s="411">
        <v>0</v>
      </c>
      <c r="E60" s="412">
        <f t="shared" si="19"/>
        <v>4</v>
      </c>
      <c r="F60" s="166" t="s">
        <v>73</v>
      </c>
      <c r="G60" s="142">
        <v>15</v>
      </c>
      <c r="H60" s="280">
        <v>5</v>
      </c>
      <c r="I60" s="415">
        <v>0</v>
      </c>
      <c r="J60" s="169">
        <f t="shared" si="20"/>
        <v>20</v>
      </c>
    </row>
    <row r="61" spans="1:10" ht="14.95" thickBot="1" x14ac:dyDescent="0.3">
      <c r="A61" s="408" t="s">
        <v>248</v>
      </c>
      <c r="B61" s="409">
        <v>0</v>
      </c>
      <c r="C61" s="410">
        <v>1</v>
      </c>
      <c r="D61" s="411">
        <v>2</v>
      </c>
      <c r="E61" s="412">
        <f t="shared" si="19"/>
        <v>3</v>
      </c>
      <c r="F61" s="166" t="s">
        <v>292</v>
      </c>
      <c r="G61" s="142">
        <v>13</v>
      </c>
      <c r="H61" s="280">
        <v>0</v>
      </c>
      <c r="I61" s="415">
        <v>5</v>
      </c>
      <c r="J61" s="169">
        <f t="shared" si="20"/>
        <v>18</v>
      </c>
    </row>
    <row r="62" spans="1:10" ht="14.95" thickBot="1" x14ac:dyDescent="0.3">
      <c r="A62" s="408" t="s">
        <v>213</v>
      </c>
      <c r="B62" s="409">
        <v>2</v>
      </c>
      <c r="C62" s="410">
        <v>1</v>
      </c>
      <c r="D62" s="411">
        <v>0</v>
      </c>
      <c r="E62" s="412">
        <f t="shared" si="19"/>
        <v>3</v>
      </c>
      <c r="F62" s="166" t="s">
        <v>986</v>
      </c>
      <c r="G62" s="142">
        <v>16</v>
      </c>
      <c r="H62" s="280">
        <v>0</v>
      </c>
      <c r="I62" s="415">
        <v>0</v>
      </c>
      <c r="J62" s="169">
        <f t="shared" si="20"/>
        <v>16</v>
      </c>
    </row>
    <row r="63" spans="1:10" ht="14.95" thickBot="1" x14ac:dyDescent="0.3">
      <c r="A63" s="408" t="s">
        <v>421</v>
      </c>
      <c r="B63" s="409">
        <v>1</v>
      </c>
      <c r="C63" s="410">
        <v>1</v>
      </c>
      <c r="D63" s="411">
        <v>1</v>
      </c>
      <c r="E63" s="412">
        <f t="shared" si="19"/>
        <v>3</v>
      </c>
      <c r="F63" s="166" t="s">
        <v>248</v>
      </c>
      <c r="G63" s="142">
        <v>0</v>
      </c>
      <c r="H63" s="280">
        <v>5</v>
      </c>
      <c r="I63" s="415">
        <v>10</v>
      </c>
      <c r="J63" s="169">
        <f t="shared" si="20"/>
        <v>15</v>
      </c>
    </row>
    <row r="64" spans="1:10" ht="14.95" thickBot="1" x14ac:dyDescent="0.3">
      <c r="A64" s="408" t="s">
        <v>381</v>
      </c>
      <c r="B64" s="409">
        <v>0</v>
      </c>
      <c r="C64" s="410">
        <v>1</v>
      </c>
      <c r="D64" s="411">
        <v>2</v>
      </c>
      <c r="E64" s="412">
        <f t="shared" si="19"/>
        <v>3</v>
      </c>
      <c r="F64" s="166" t="s">
        <v>213</v>
      </c>
      <c r="G64" s="142">
        <v>10</v>
      </c>
      <c r="H64" s="280">
        <v>5</v>
      </c>
      <c r="I64" s="415">
        <v>0</v>
      </c>
      <c r="J64" s="169">
        <f t="shared" si="20"/>
        <v>15</v>
      </c>
    </row>
    <row r="65" spans="1:10" ht="14.95" thickBot="1" x14ac:dyDescent="0.3">
      <c r="A65" s="408" t="s">
        <v>200</v>
      </c>
      <c r="B65" s="409">
        <v>3</v>
      </c>
      <c r="C65" s="410">
        <v>0</v>
      </c>
      <c r="D65" s="411">
        <v>0</v>
      </c>
      <c r="E65" s="412">
        <f t="shared" si="19"/>
        <v>3</v>
      </c>
      <c r="F65" s="166" t="s">
        <v>421</v>
      </c>
      <c r="G65" s="142">
        <v>5</v>
      </c>
      <c r="H65" s="280">
        <v>5</v>
      </c>
      <c r="I65" s="415">
        <v>5</v>
      </c>
      <c r="J65" s="169">
        <f t="shared" si="20"/>
        <v>15</v>
      </c>
    </row>
    <row r="66" spans="1:10" ht="14.95" thickBot="1" x14ac:dyDescent="0.3">
      <c r="A66" s="408" t="s">
        <v>307</v>
      </c>
      <c r="B66" s="409">
        <v>2</v>
      </c>
      <c r="C66" s="410">
        <v>0</v>
      </c>
      <c r="D66" s="411">
        <v>1</v>
      </c>
      <c r="E66" s="412">
        <f t="shared" si="19"/>
        <v>3</v>
      </c>
      <c r="F66" s="166" t="s">
        <v>381</v>
      </c>
      <c r="G66" s="142">
        <v>0</v>
      </c>
      <c r="H66" s="280">
        <v>5</v>
      </c>
      <c r="I66" s="415">
        <v>10</v>
      </c>
      <c r="J66" s="169">
        <f t="shared" si="20"/>
        <v>15</v>
      </c>
    </row>
    <row r="67" spans="1:10" ht="14.95" thickBot="1" x14ac:dyDescent="0.3">
      <c r="A67" s="408" t="s">
        <v>290</v>
      </c>
      <c r="B67" s="409">
        <v>1</v>
      </c>
      <c r="C67" s="410">
        <v>1</v>
      </c>
      <c r="D67" s="411">
        <v>0</v>
      </c>
      <c r="E67" s="412">
        <f t="shared" si="19"/>
        <v>2</v>
      </c>
      <c r="F67" s="167" t="s">
        <v>200</v>
      </c>
      <c r="G67" s="142">
        <v>15</v>
      </c>
      <c r="H67" s="280">
        <v>0</v>
      </c>
      <c r="I67" s="415">
        <v>0</v>
      </c>
      <c r="J67" s="169">
        <f t="shared" si="20"/>
        <v>15</v>
      </c>
    </row>
    <row r="68" spans="1:10" ht="14.95" thickBot="1" x14ac:dyDescent="0.3">
      <c r="A68" s="408" t="s">
        <v>376</v>
      </c>
      <c r="B68" s="409">
        <v>2</v>
      </c>
      <c r="C68" s="410">
        <v>0</v>
      </c>
      <c r="D68" s="411">
        <v>0</v>
      </c>
      <c r="E68" s="412">
        <f t="shared" si="19"/>
        <v>2</v>
      </c>
      <c r="F68" s="167" t="s">
        <v>307</v>
      </c>
      <c r="G68" s="142">
        <v>10</v>
      </c>
      <c r="H68" s="280">
        <v>0</v>
      </c>
      <c r="I68" s="415">
        <v>5</v>
      </c>
      <c r="J68" s="169">
        <f t="shared" si="20"/>
        <v>15</v>
      </c>
    </row>
    <row r="69" spans="1:10" ht="14.95" thickBot="1" x14ac:dyDescent="0.3">
      <c r="A69" s="408" t="s">
        <v>506</v>
      </c>
      <c r="B69" s="409">
        <v>1</v>
      </c>
      <c r="C69" s="410">
        <v>1</v>
      </c>
      <c r="D69" s="411">
        <v>0</v>
      </c>
      <c r="E69" s="412">
        <f t="shared" si="19"/>
        <v>2</v>
      </c>
      <c r="F69" s="167" t="s">
        <v>290</v>
      </c>
      <c r="G69" s="142">
        <v>5</v>
      </c>
      <c r="H69" s="280">
        <v>5</v>
      </c>
      <c r="I69" s="415">
        <v>0</v>
      </c>
      <c r="J69" s="169">
        <f t="shared" si="20"/>
        <v>10</v>
      </c>
    </row>
    <row r="70" spans="1:10" ht="14.95" thickBot="1" x14ac:dyDescent="0.3">
      <c r="A70" s="408" t="s">
        <v>989</v>
      </c>
      <c r="B70" s="409">
        <v>2</v>
      </c>
      <c r="C70" s="410">
        <v>0</v>
      </c>
      <c r="D70" s="411">
        <v>0</v>
      </c>
      <c r="E70" s="412">
        <f t="shared" si="19"/>
        <v>2</v>
      </c>
      <c r="F70" s="167" t="s">
        <v>376</v>
      </c>
      <c r="G70" s="142">
        <v>10</v>
      </c>
      <c r="H70" s="280">
        <v>0</v>
      </c>
      <c r="I70" s="415">
        <v>0</v>
      </c>
      <c r="J70" s="169">
        <f t="shared" si="20"/>
        <v>10</v>
      </c>
    </row>
    <row r="71" spans="1:10" ht="14.95" thickBot="1" x14ac:dyDescent="0.3">
      <c r="A71" s="408" t="s">
        <v>281</v>
      </c>
      <c r="B71" s="409">
        <v>2</v>
      </c>
      <c r="C71" s="410">
        <v>0</v>
      </c>
      <c r="D71" s="411">
        <v>0</v>
      </c>
      <c r="E71" s="412">
        <f t="shared" si="19"/>
        <v>2</v>
      </c>
      <c r="F71" s="167" t="s">
        <v>506</v>
      </c>
      <c r="G71" s="142">
        <v>5</v>
      </c>
      <c r="H71" s="280">
        <v>5</v>
      </c>
      <c r="I71" s="415">
        <v>0</v>
      </c>
      <c r="J71" s="169">
        <f t="shared" si="20"/>
        <v>10</v>
      </c>
    </row>
    <row r="72" spans="1:10" ht="14.95" thickBot="1" x14ac:dyDescent="0.3">
      <c r="A72" s="408" t="s">
        <v>681</v>
      </c>
      <c r="B72" s="409">
        <v>0</v>
      </c>
      <c r="C72" s="410">
        <v>0</v>
      </c>
      <c r="D72" s="411">
        <v>1</v>
      </c>
      <c r="E72" s="412">
        <f t="shared" si="19"/>
        <v>1</v>
      </c>
      <c r="F72" s="167" t="s">
        <v>989</v>
      </c>
      <c r="G72" s="142">
        <v>10</v>
      </c>
      <c r="H72" s="280">
        <v>0</v>
      </c>
      <c r="I72" s="415">
        <v>0</v>
      </c>
      <c r="J72" s="169">
        <f t="shared" si="20"/>
        <v>10</v>
      </c>
    </row>
    <row r="73" spans="1:10" ht="14.95" thickBot="1" x14ac:dyDescent="0.3">
      <c r="A73" s="408" t="s">
        <v>292</v>
      </c>
      <c r="B73" s="409">
        <v>1</v>
      </c>
      <c r="C73" s="410">
        <v>0</v>
      </c>
      <c r="D73" s="411">
        <v>0</v>
      </c>
      <c r="E73" s="412">
        <f t="shared" si="19"/>
        <v>1</v>
      </c>
      <c r="F73" s="167" t="s">
        <v>281</v>
      </c>
      <c r="G73" s="142">
        <v>10</v>
      </c>
      <c r="H73" s="280">
        <v>0</v>
      </c>
      <c r="I73" s="415">
        <v>0</v>
      </c>
      <c r="J73" s="169">
        <f t="shared" si="20"/>
        <v>10</v>
      </c>
    </row>
    <row r="74" spans="1:10" ht="14.95" thickBot="1" x14ac:dyDescent="0.3">
      <c r="A74" s="408" t="s">
        <v>264</v>
      </c>
      <c r="B74" s="409">
        <v>0</v>
      </c>
      <c r="C74" s="410">
        <v>0</v>
      </c>
      <c r="D74" s="411">
        <v>1</v>
      </c>
      <c r="E74" s="412">
        <f t="shared" si="19"/>
        <v>1</v>
      </c>
      <c r="F74" s="167" t="s">
        <v>922</v>
      </c>
      <c r="G74" s="142">
        <v>0</v>
      </c>
      <c r="H74" s="280">
        <v>2</v>
      </c>
      <c r="I74" s="415">
        <v>7</v>
      </c>
      <c r="J74" s="169">
        <f t="shared" si="20"/>
        <v>9</v>
      </c>
    </row>
    <row r="75" spans="1:10" ht="14.95" thickBot="1" x14ac:dyDescent="0.3">
      <c r="A75" s="408" t="s">
        <v>991</v>
      </c>
      <c r="B75" s="409">
        <v>0</v>
      </c>
      <c r="C75" s="410">
        <v>0</v>
      </c>
      <c r="D75" s="411">
        <v>1</v>
      </c>
      <c r="E75" s="412">
        <f t="shared" si="19"/>
        <v>1</v>
      </c>
      <c r="F75" s="167" t="s">
        <v>4</v>
      </c>
      <c r="G75" s="142">
        <v>7</v>
      </c>
      <c r="H75" s="280">
        <v>0</v>
      </c>
      <c r="I75" s="415">
        <v>0</v>
      </c>
      <c r="J75" s="169">
        <f t="shared" si="20"/>
        <v>7</v>
      </c>
    </row>
    <row r="76" spans="1:10" ht="14.95" thickBot="1" x14ac:dyDescent="0.3">
      <c r="A76" s="408" t="s">
        <v>245</v>
      </c>
      <c r="B76" s="409">
        <v>1</v>
      </c>
      <c r="C76" s="410">
        <v>0</v>
      </c>
      <c r="D76" s="411">
        <v>0</v>
      </c>
      <c r="E76" s="412">
        <f t="shared" si="19"/>
        <v>1</v>
      </c>
      <c r="F76" s="167" t="s">
        <v>681</v>
      </c>
      <c r="G76" s="142">
        <v>0</v>
      </c>
      <c r="H76" s="280">
        <v>0</v>
      </c>
      <c r="I76" s="415">
        <v>5</v>
      </c>
      <c r="J76" s="169">
        <f t="shared" si="20"/>
        <v>5</v>
      </c>
    </row>
    <row r="77" spans="1:10" ht="14.95" thickBot="1" x14ac:dyDescent="0.3">
      <c r="A77" s="408" t="s">
        <v>409</v>
      </c>
      <c r="B77" s="409">
        <v>1</v>
      </c>
      <c r="C77" s="410">
        <v>0</v>
      </c>
      <c r="D77" s="411">
        <v>0</v>
      </c>
      <c r="E77" s="412">
        <f t="shared" si="19"/>
        <v>1</v>
      </c>
      <c r="F77" s="167" t="s">
        <v>264</v>
      </c>
      <c r="G77" s="142">
        <v>0</v>
      </c>
      <c r="H77" s="280">
        <v>0</v>
      </c>
      <c r="I77" s="415">
        <v>5</v>
      </c>
      <c r="J77" s="169">
        <f t="shared" si="20"/>
        <v>5</v>
      </c>
    </row>
    <row r="78" spans="1:10" ht="14.95" thickBot="1" x14ac:dyDescent="0.3">
      <c r="A78" s="408" t="s">
        <v>687</v>
      </c>
      <c r="B78" s="409">
        <v>0</v>
      </c>
      <c r="C78" s="410">
        <v>1</v>
      </c>
      <c r="D78" s="411">
        <v>0</v>
      </c>
      <c r="E78" s="412">
        <f t="shared" si="19"/>
        <v>1</v>
      </c>
      <c r="F78" s="167" t="s">
        <v>991</v>
      </c>
      <c r="G78" s="142">
        <v>0</v>
      </c>
      <c r="H78" s="280">
        <v>0</v>
      </c>
      <c r="I78" s="415">
        <v>5</v>
      </c>
      <c r="J78" s="169">
        <f t="shared" si="20"/>
        <v>5</v>
      </c>
    </row>
    <row r="79" spans="1:10" ht="14.95" thickBot="1" x14ac:dyDescent="0.3">
      <c r="A79" s="408" t="s">
        <v>4</v>
      </c>
      <c r="B79" s="409">
        <v>1</v>
      </c>
      <c r="C79" s="410">
        <v>0</v>
      </c>
      <c r="D79" s="411">
        <v>0</v>
      </c>
      <c r="E79" s="412">
        <f t="shared" si="19"/>
        <v>1</v>
      </c>
      <c r="F79" s="167" t="s">
        <v>245</v>
      </c>
      <c r="G79" s="142">
        <v>5</v>
      </c>
      <c r="H79" s="280">
        <v>0</v>
      </c>
      <c r="I79" s="415">
        <v>0</v>
      </c>
      <c r="J79" s="169">
        <f t="shared" si="20"/>
        <v>5</v>
      </c>
    </row>
    <row r="80" spans="1:10" ht="14.95" thickBot="1" x14ac:dyDescent="0.3">
      <c r="A80" s="408" t="s">
        <v>22</v>
      </c>
      <c r="B80" s="409">
        <v>1</v>
      </c>
      <c r="C80" s="410">
        <v>0</v>
      </c>
      <c r="D80" s="411">
        <v>0</v>
      </c>
      <c r="E80" s="412">
        <f t="shared" si="19"/>
        <v>1</v>
      </c>
      <c r="F80" s="167" t="s">
        <v>409</v>
      </c>
      <c r="G80" s="142">
        <v>5</v>
      </c>
      <c r="H80" s="280">
        <v>0</v>
      </c>
      <c r="I80" s="415">
        <v>0</v>
      </c>
      <c r="J80" s="169">
        <f t="shared" si="20"/>
        <v>5</v>
      </c>
    </row>
    <row r="81" spans="1:10" ht="14.95" thickBot="1" x14ac:dyDescent="0.3">
      <c r="A81" s="408" t="s">
        <v>150</v>
      </c>
      <c r="B81" s="409">
        <v>1</v>
      </c>
      <c r="C81" s="410">
        <v>0</v>
      </c>
      <c r="D81" s="411">
        <v>0</v>
      </c>
      <c r="E81" s="412">
        <f t="shared" si="19"/>
        <v>1</v>
      </c>
      <c r="F81" s="167" t="s">
        <v>687</v>
      </c>
      <c r="G81" s="142">
        <v>0</v>
      </c>
      <c r="H81" s="280">
        <v>5</v>
      </c>
      <c r="I81" s="415">
        <v>0</v>
      </c>
      <c r="J81" s="169">
        <f t="shared" si="20"/>
        <v>5</v>
      </c>
    </row>
    <row r="82" spans="1:10" ht="14.95" thickBot="1" x14ac:dyDescent="0.3">
      <c r="A82" s="408" t="s">
        <v>876</v>
      </c>
      <c r="B82" s="409">
        <v>0</v>
      </c>
      <c r="C82" s="410">
        <v>0</v>
      </c>
      <c r="D82" s="411">
        <v>0</v>
      </c>
      <c r="E82" s="412">
        <f t="shared" si="19"/>
        <v>0</v>
      </c>
      <c r="F82" s="167" t="s">
        <v>22</v>
      </c>
      <c r="G82" s="142">
        <v>5</v>
      </c>
      <c r="H82" s="280">
        <v>0</v>
      </c>
      <c r="I82" s="415">
        <v>0</v>
      </c>
      <c r="J82" s="169">
        <f t="shared" si="20"/>
        <v>5</v>
      </c>
    </row>
    <row r="83" spans="1:10" ht="14.95" thickBot="1" x14ac:dyDescent="0.3">
      <c r="A83" s="408" t="s">
        <v>420</v>
      </c>
      <c r="B83" s="409">
        <v>0</v>
      </c>
      <c r="C83" s="410">
        <v>0</v>
      </c>
      <c r="D83" s="411">
        <v>0</v>
      </c>
      <c r="E83" s="412">
        <f t="shared" si="19"/>
        <v>0</v>
      </c>
      <c r="F83" s="167" t="s">
        <v>150</v>
      </c>
      <c r="G83" s="142">
        <v>5</v>
      </c>
      <c r="H83" s="280">
        <v>0</v>
      </c>
      <c r="I83" s="415">
        <v>0</v>
      </c>
      <c r="J83" s="169">
        <f t="shared" si="20"/>
        <v>5</v>
      </c>
    </row>
    <row r="84" spans="1:10" ht="14.95" thickBot="1" x14ac:dyDescent="0.3">
      <c r="A84" s="408" t="s">
        <v>726</v>
      </c>
      <c r="B84" s="409">
        <v>0</v>
      </c>
      <c r="C84" s="410">
        <v>0</v>
      </c>
      <c r="D84" s="411">
        <v>0</v>
      </c>
      <c r="E84" s="412">
        <f t="shared" si="19"/>
        <v>0</v>
      </c>
      <c r="F84" s="167" t="s">
        <v>63</v>
      </c>
      <c r="G84" s="142">
        <v>0</v>
      </c>
      <c r="H84" s="280">
        <v>2</v>
      </c>
      <c r="I84" s="415">
        <v>3</v>
      </c>
      <c r="J84" s="169">
        <f t="shared" si="20"/>
        <v>5</v>
      </c>
    </row>
    <row r="85" spans="1:10" ht="14.95" thickBot="1" x14ac:dyDescent="0.3">
      <c r="A85" s="408" t="s">
        <v>985</v>
      </c>
      <c r="B85" s="409">
        <v>0</v>
      </c>
      <c r="C85" s="410">
        <v>0</v>
      </c>
      <c r="D85" s="411">
        <v>0</v>
      </c>
      <c r="E85" s="412">
        <f t="shared" si="19"/>
        <v>0</v>
      </c>
      <c r="F85" s="167" t="s">
        <v>876</v>
      </c>
      <c r="G85" s="142">
        <v>0</v>
      </c>
      <c r="H85" s="280">
        <v>0</v>
      </c>
      <c r="I85" s="415">
        <v>0</v>
      </c>
      <c r="J85" s="169">
        <f t="shared" si="20"/>
        <v>0</v>
      </c>
    </row>
    <row r="86" spans="1:10" ht="14.95" thickBot="1" x14ac:dyDescent="0.3">
      <c r="A86" s="408" t="s">
        <v>342</v>
      </c>
      <c r="B86" s="409">
        <v>0</v>
      </c>
      <c r="C86" s="410">
        <v>0</v>
      </c>
      <c r="D86" s="411">
        <v>0</v>
      </c>
      <c r="E86" s="412">
        <f t="shared" si="19"/>
        <v>0</v>
      </c>
      <c r="F86" s="167" t="s">
        <v>420</v>
      </c>
      <c r="G86" s="142">
        <v>0</v>
      </c>
      <c r="H86" s="280">
        <v>0</v>
      </c>
      <c r="I86" s="415">
        <v>0</v>
      </c>
      <c r="J86" s="169">
        <f t="shared" si="20"/>
        <v>0</v>
      </c>
    </row>
    <row r="87" spans="1:10" ht="14.95" thickBot="1" x14ac:dyDescent="0.3">
      <c r="A87" s="408" t="s">
        <v>685</v>
      </c>
      <c r="B87" s="409">
        <v>0</v>
      </c>
      <c r="C87" s="410">
        <v>0</v>
      </c>
      <c r="D87" s="411">
        <v>0</v>
      </c>
      <c r="E87" s="412">
        <f t="shared" si="19"/>
        <v>0</v>
      </c>
      <c r="F87" s="167" t="s">
        <v>726</v>
      </c>
      <c r="G87" s="142">
        <v>0</v>
      </c>
      <c r="H87" s="280">
        <v>0</v>
      </c>
      <c r="I87" s="415">
        <v>0</v>
      </c>
      <c r="J87" s="169">
        <f t="shared" si="20"/>
        <v>0</v>
      </c>
    </row>
    <row r="88" spans="1:10" ht="14.95" thickBot="1" x14ac:dyDescent="0.3">
      <c r="A88" s="408" t="s">
        <v>990</v>
      </c>
      <c r="B88" s="409">
        <v>0</v>
      </c>
      <c r="C88" s="410">
        <v>0</v>
      </c>
      <c r="D88" s="411">
        <v>0</v>
      </c>
      <c r="E88" s="412">
        <f t="shared" ref="E88:E119" si="21">SUM(B88:D88)</f>
        <v>0</v>
      </c>
      <c r="F88" s="167" t="s">
        <v>985</v>
      </c>
      <c r="G88" s="142">
        <v>0</v>
      </c>
      <c r="H88" s="280">
        <v>0</v>
      </c>
      <c r="I88" s="415">
        <v>0</v>
      </c>
      <c r="J88" s="169">
        <f t="shared" ref="J88:J119" si="22">SUM(G88:I88)</f>
        <v>0</v>
      </c>
    </row>
    <row r="89" spans="1:10" ht="14.95" thickBot="1" x14ac:dyDescent="0.3">
      <c r="A89" s="408" t="s">
        <v>215</v>
      </c>
      <c r="B89" s="409">
        <v>0</v>
      </c>
      <c r="C89" s="410">
        <v>0</v>
      </c>
      <c r="D89" s="411">
        <v>0</v>
      </c>
      <c r="E89" s="412">
        <f t="shared" si="21"/>
        <v>0</v>
      </c>
      <c r="F89" s="167" t="s">
        <v>342</v>
      </c>
      <c r="G89" s="142">
        <v>0</v>
      </c>
      <c r="H89" s="280">
        <v>0</v>
      </c>
      <c r="I89" s="415">
        <v>0</v>
      </c>
      <c r="J89" s="169">
        <f t="shared" si="22"/>
        <v>0</v>
      </c>
    </row>
    <row r="90" spans="1:10" ht="14.95" thickBot="1" x14ac:dyDescent="0.3">
      <c r="A90" s="408" t="s">
        <v>454</v>
      </c>
      <c r="B90" s="409">
        <v>0</v>
      </c>
      <c r="C90" s="410">
        <v>0</v>
      </c>
      <c r="D90" s="411">
        <v>0</v>
      </c>
      <c r="E90" s="412">
        <f t="shared" si="21"/>
        <v>0</v>
      </c>
      <c r="F90" s="167" t="s">
        <v>685</v>
      </c>
      <c r="G90" s="142">
        <v>0</v>
      </c>
      <c r="H90" s="280">
        <v>0</v>
      </c>
      <c r="I90" s="415">
        <v>0</v>
      </c>
      <c r="J90" s="169">
        <f t="shared" si="22"/>
        <v>0</v>
      </c>
    </row>
    <row r="91" spans="1:10" ht="14.95" thickBot="1" x14ac:dyDescent="0.3">
      <c r="A91" s="408" t="s">
        <v>282</v>
      </c>
      <c r="B91" s="409">
        <v>0</v>
      </c>
      <c r="C91" s="410">
        <v>0</v>
      </c>
      <c r="D91" s="411">
        <v>0</v>
      </c>
      <c r="E91" s="412">
        <f t="shared" si="21"/>
        <v>0</v>
      </c>
      <c r="F91" s="167" t="s">
        <v>990</v>
      </c>
      <c r="G91" s="142">
        <v>0</v>
      </c>
      <c r="H91" s="280">
        <v>0</v>
      </c>
      <c r="I91" s="415">
        <v>0</v>
      </c>
      <c r="J91" s="169">
        <f t="shared" si="22"/>
        <v>0</v>
      </c>
    </row>
    <row r="92" spans="1:10" ht="14.95" thickBot="1" x14ac:dyDescent="0.3">
      <c r="A92" s="408" t="s">
        <v>982</v>
      </c>
      <c r="B92" s="409">
        <v>0</v>
      </c>
      <c r="C92" s="410">
        <v>0</v>
      </c>
      <c r="D92" s="411">
        <v>0</v>
      </c>
      <c r="E92" s="412">
        <f t="shared" si="21"/>
        <v>0</v>
      </c>
      <c r="F92" s="167" t="s">
        <v>215</v>
      </c>
      <c r="G92" s="142">
        <v>0</v>
      </c>
      <c r="H92" s="280">
        <v>0</v>
      </c>
      <c r="I92" s="415">
        <v>0</v>
      </c>
      <c r="J92" s="169">
        <f t="shared" si="22"/>
        <v>0</v>
      </c>
    </row>
    <row r="93" spans="1:10" ht="14.95" thickBot="1" x14ac:dyDescent="0.3">
      <c r="A93" s="408" t="s">
        <v>688</v>
      </c>
      <c r="B93" s="409">
        <v>0</v>
      </c>
      <c r="C93" s="410">
        <v>0</v>
      </c>
      <c r="D93" s="411">
        <v>0</v>
      </c>
      <c r="E93" s="412">
        <f t="shared" si="21"/>
        <v>0</v>
      </c>
      <c r="F93" s="167" t="s">
        <v>454</v>
      </c>
      <c r="G93" s="142">
        <v>0</v>
      </c>
      <c r="H93" s="280">
        <v>0</v>
      </c>
      <c r="I93" s="415">
        <v>0</v>
      </c>
      <c r="J93" s="169">
        <f t="shared" si="22"/>
        <v>0</v>
      </c>
    </row>
    <row r="94" spans="1:10" ht="14.95" thickBot="1" x14ac:dyDescent="0.3">
      <c r="A94" s="408" t="s">
        <v>984</v>
      </c>
      <c r="B94" s="409">
        <v>0</v>
      </c>
      <c r="C94" s="410">
        <v>0</v>
      </c>
      <c r="D94" s="411">
        <v>0</v>
      </c>
      <c r="E94" s="412">
        <f t="shared" si="21"/>
        <v>0</v>
      </c>
      <c r="F94" s="167" t="s">
        <v>282</v>
      </c>
      <c r="G94" s="142">
        <v>0</v>
      </c>
      <c r="H94" s="280">
        <v>0</v>
      </c>
      <c r="I94" s="415">
        <v>0</v>
      </c>
      <c r="J94" s="169">
        <f t="shared" si="22"/>
        <v>0</v>
      </c>
    </row>
    <row r="95" spans="1:10" ht="14.95" thickBot="1" x14ac:dyDescent="0.3">
      <c r="A95" s="408" t="s">
        <v>986</v>
      </c>
      <c r="B95" s="409">
        <v>0</v>
      </c>
      <c r="C95" s="410">
        <v>0</v>
      </c>
      <c r="D95" s="411">
        <v>0</v>
      </c>
      <c r="E95" s="412">
        <f t="shared" si="21"/>
        <v>0</v>
      </c>
      <c r="F95" s="167" t="s">
        <v>982</v>
      </c>
      <c r="G95" s="142">
        <v>0</v>
      </c>
      <c r="H95" s="280">
        <v>0</v>
      </c>
      <c r="I95" s="415">
        <v>0</v>
      </c>
      <c r="J95" s="169">
        <f t="shared" si="22"/>
        <v>0</v>
      </c>
    </row>
    <row r="96" spans="1:10" ht="14.95" thickBot="1" x14ac:dyDescent="0.3">
      <c r="A96" s="408" t="s">
        <v>675</v>
      </c>
      <c r="B96" s="409">
        <v>0</v>
      </c>
      <c r="C96" s="410">
        <v>0</v>
      </c>
      <c r="D96" s="411">
        <v>0</v>
      </c>
      <c r="E96" s="412">
        <f t="shared" si="21"/>
        <v>0</v>
      </c>
      <c r="F96" s="167" t="s">
        <v>688</v>
      </c>
      <c r="G96" s="142">
        <v>0</v>
      </c>
      <c r="H96" s="280">
        <v>0</v>
      </c>
      <c r="I96" s="415">
        <v>0</v>
      </c>
      <c r="J96" s="169">
        <f t="shared" si="22"/>
        <v>0</v>
      </c>
    </row>
    <row r="97" spans="1:10" ht="14.95" thickBot="1" x14ac:dyDescent="0.3">
      <c r="A97" s="408" t="s">
        <v>74</v>
      </c>
      <c r="B97" s="409">
        <v>0</v>
      </c>
      <c r="C97" s="410">
        <v>0</v>
      </c>
      <c r="D97" s="411">
        <v>0</v>
      </c>
      <c r="E97" s="412">
        <f t="shared" si="21"/>
        <v>0</v>
      </c>
      <c r="F97" s="167" t="s">
        <v>984</v>
      </c>
      <c r="G97" s="142">
        <v>0</v>
      </c>
      <c r="H97" s="280">
        <v>0</v>
      </c>
      <c r="I97" s="415">
        <v>0</v>
      </c>
      <c r="J97" s="169">
        <f t="shared" si="22"/>
        <v>0</v>
      </c>
    </row>
    <row r="98" spans="1:10" ht="14.95" thickBot="1" x14ac:dyDescent="0.3">
      <c r="A98" s="408" t="s">
        <v>988</v>
      </c>
      <c r="B98" s="409">
        <v>0</v>
      </c>
      <c r="C98" s="410">
        <v>0</v>
      </c>
      <c r="D98" s="411">
        <v>0</v>
      </c>
      <c r="E98" s="412">
        <f t="shared" si="21"/>
        <v>0</v>
      </c>
      <c r="F98" s="167" t="s">
        <v>675</v>
      </c>
      <c r="G98" s="142">
        <v>0</v>
      </c>
      <c r="H98" s="280">
        <v>0</v>
      </c>
      <c r="I98" s="415">
        <v>0</v>
      </c>
      <c r="J98" s="169">
        <f t="shared" si="22"/>
        <v>0</v>
      </c>
    </row>
    <row r="99" spans="1:10" ht="14.95" thickBot="1" x14ac:dyDescent="0.3">
      <c r="A99" s="408" t="s">
        <v>581</v>
      </c>
      <c r="B99" s="409">
        <v>0</v>
      </c>
      <c r="C99" s="410">
        <v>0</v>
      </c>
      <c r="D99" s="411">
        <v>0</v>
      </c>
      <c r="E99" s="412">
        <f t="shared" si="21"/>
        <v>0</v>
      </c>
      <c r="F99" s="167" t="s">
        <v>74</v>
      </c>
      <c r="G99" s="142">
        <v>0</v>
      </c>
      <c r="H99" s="280">
        <v>0</v>
      </c>
      <c r="I99" s="415">
        <v>0</v>
      </c>
      <c r="J99" s="169">
        <f t="shared" si="22"/>
        <v>0</v>
      </c>
    </row>
    <row r="100" spans="1:10" ht="14.95" thickBot="1" x14ac:dyDescent="0.3">
      <c r="A100" s="408" t="s">
        <v>822</v>
      </c>
      <c r="B100" s="409">
        <v>0</v>
      </c>
      <c r="C100" s="410">
        <v>0</v>
      </c>
      <c r="D100" s="411">
        <v>0</v>
      </c>
      <c r="E100" s="412">
        <f t="shared" si="21"/>
        <v>0</v>
      </c>
      <c r="F100" s="167" t="s">
        <v>988</v>
      </c>
      <c r="G100" s="142">
        <v>0</v>
      </c>
      <c r="H100" s="280">
        <v>0</v>
      </c>
      <c r="I100" s="415">
        <v>0</v>
      </c>
      <c r="J100" s="169">
        <f t="shared" si="22"/>
        <v>0</v>
      </c>
    </row>
    <row r="101" spans="1:10" ht="14.95" thickBot="1" x14ac:dyDescent="0.3">
      <c r="A101" s="408" t="s">
        <v>922</v>
      </c>
      <c r="B101" s="409">
        <v>0</v>
      </c>
      <c r="C101" s="410">
        <v>0</v>
      </c>
      <c r="D101" s="411">
        <v>0</v>
      </c>
      <c r="E101" s="412">
        <f t="shared" si="21"/>
        <v>0</v>
      </c>
      <c r="F101" s="167" t="s">
        <v>581</v>
      </c>
      <c r="G101" s="142">
        <v>0</v>
      </c>
      <c r="H101" s="280">
        <v>0</v>
      </c>
      <c r="I101" s="415">
        <v>0</v>
      </c>
      <c r="J101" s="169">
        <f t="shared" si="22"/>
        <v>0</v>
      </c>
    </row>
    <row r="102" spans="1:10" ht="14.95" thickBot="1" x14ac:dyDescent="0.3">
      <c r="A102" s="408" t="s">
        <v>820</v>
      </c>
      <c r="B102" s="409">
        <v>0</v>
      </c>
      <c r="C102" s="410">
        <v>0</v>
      </c>
      <c r="D102" s="411">
        <v>0</v>
      </c>
      <c r="E102" s="412">
        <f t="shared" si="21"/>
        <v>0</v>
      </c>
      <c r="F102" s="167" t="s">
        <v>822</v>
      </c>
      <c r="G102" s="142">
        <v>0</v>
      </c>
      <c r="H102" s="280">
        <v>0</v>
      </c>
      <c r="I102" s="415">
        <v>0</v>
      </c>
      <c r="J102" s="169">
        <f t="shared" si="22"/>
        <v>0</v>
      </c>
    </row>
    <row r="103" spans="1:10" ht="14.95" thickBot="1" x14ac:dyDescent="0.3">
      <c r="A103" s="408" t="s">
        <v>5</v>
      </c>
      <c r="B103" s="409">
        <v>0</v>
      </c>
      <c r="C103" s="410">
        <v>0</v>
      </c>
      <c r="D103" s="411">
        <v>0</v>
      </c>
      <c r="E103" s="412">
        <f t="shared" si="21"/>
        <v>0</v>
      </c>
      <c r="F103" s="167" t="s">
        <v>820</v>
      </c>
      <c r="G103" s="142">
        <v>0</v>
      </c>
      <c r="H103" s="280">
        <v>0</v>
      </c>
      <c r="I103" s="415">
        <v>0</v>
      </c>
      <c r="J103" s="169">
        <f t="shared" si="22"/>
        <v>0</v>
      </c>
    </row>
    <row r="104" spans="1:10" ht="14.95" thickBot="1" x14ac:dyDescent="0.3">
      <c r="A104" s="408" t="s">
        <v>63</v>
      </c>
      <c r="B104" s="409">
        <v>0</v>
      </c>
      <c r="C104" s="410">
        <v>0</v>
      </c>
      <c r="D104" s="411">
        <v>0</v>
      </c>
      <c r="E104" s="412">
        <f t="shared" si="21"/>
        <v>0</v>
      </c>
      <c r="F104" s="167" t="s">
        <v>5</v>
      </c>
      <c r="G104" s="142">
        <v>0</v>
      </c>
      <c r="H104" s="280">
        <v>0</v>
      </c>
      <c r="I104" s="415">
        <v>0</v>
      </c>
      <c r="J104" s="169">
        <f t="shared" si="22"/>
        <v>0</v>
      </c>
    </row>
    <row r="105" spans="1:10" ht="14.95" thickBot="1" x14ac:dyDescent="0.3">
      <c r="A105" s="408" t="s">
        <v>3</v>
      </c>
      <c r="B105" s="409">
        <f>SUM(B56:B104)</f>
        <v>36</v>
      </c>
      <c r="C105" s="410">
        <f>SUM(C56:C104)</f>
        <v>17</v>
      </c>
      <c r="D105" s="411">
        <f>SUM(D56:D104)</f>
        <v>13</v>
      </c>
      <c r="E105" s="412">
        <f t="shared" ref="E105" si="23">SUM(B105:D105)</f>
        <v>66</v>
      </c>
      <c r="F105" s="167" t="s">
        <v>3</v>
      </c>
      <c r="G105" s="142">
        <f>SUM(G56:G104)</f>
        <v>267</v>
      </c>
      <c r="H105" s="280">
        <f>SUM(H56:H104)</f>
        <v>118</v>
      </c>
      <c r="I105" s="415">
        <f>SUM(I56:I104)</f>
        <v>89</v>
      </c>
      <c r="J105" s="169">
        <f t="shared" ref="J105" si="24">SUM(G105:I105)</f>
        <v>474</v>
      </c>
    </row>
    <row r="106" spans="1:10" ht="16.3" x14ac:dyDescent="0.3">
      <c r="A106" s="455" t="s">
        <v>34</v>
      </c>
      <c r="B106" s="456"/>
      <c r="C106" s="456"/>
      <c r="D106" s="430"/>
      <c r="E106" s="430"/>
      <c r="F106" s="430"/>
      <c r="G106" s="430"/>
      <c r="H106" s="430"/>
      <c r="I106" s="430"/>
      <c r="J106" s="430"/>
    </row>
  </sheetData>
  <sortState xmlns:xlrd2="http://schemas.microsoft.com/office/spreadsheetml/2017/richdata2" ref="F56:J104">
    <sortCondition descending="1" ref="J56:J104"/>
  </sortState>
  <mergeCells count="65">
    <mergeCell ref="O29:Q30"/>
    <mergeCell ref="AH23:AJ24"/>
    <mergeCell ref="K39:W39"/>
    <mergeCell ref="K38:AA38"/>
    <mergeCell ref="K29:K30"/>
    <mergeCell ref="L29:N30"/>
    <mergeCell ref="O23:Q24"/>
    <mergeCell ref="AE29:AG30"/>
    <mergeCell ref="AB23:AD24"/>
    <mergeCell ref="AB29:AD30"/>
    <mergeCell ref="AB38:BB38"/>
    <mergeCell ref="AN29:AP30"/>
    <mergeCell ref="AT23:AV24"/>
    <mergeCell ref="U13:W14"/>
    <mergeCell ref="AH1:AJ2"/>
    <mergeCell ref="AH13:AJ14"/>
    <mergeCell ref="AK13:AM14"/>
    <mergeCell ref="W1:Y2"/>
    <mergeCell ref="AK1:AM2"/>
    <mergeCell ref="AB1:AD2"/>
    <mergeCell ref="AB13:AD14"/>
    <mergeCell ref="BF1:BH2"/>
    <mergeCell ref="BC1:BE2"/>
    <mergeCell ref="AZ1:BB2"/>
    <mergeCell ref="AW1:AY2"/>
    <mergeCell ref="AW13:AY14"/>
    <mergeCell ref="AZ13:BB14"/>
    <mergeCell ref="AT1:AV2"/>
    <mergeCell ref="AQ1:AS2"/>
    <mergeCell ref="AT13:AV14"/>
    <mergeCell ref="AN1:AP2"/>
    <mergeCell ref="AN13:AP14"/>
    <mergeCell ref="AQ13:AS14"/>
    <mergeCell ref="BC41:BE42"/>
    <mergeCell ref="R23:T24"/>
    <mergeCell ref="AN23:AP24"/>
    <mergeCell ref="R29:T30"/>
    <mergeCell ref="AQ29:AS30"/>
    <mergeCell ref="AQ23:AS24"/>
    <mergeCell ref="AZ23:BB24"/>
    <mergeCell ref="AK23:AM24"/>
    <mergeCell ref="U29:W30"/>
    <mergeCell ref="AW23:AY24"/>
    <mergeCell ref="AK29:AM30"/>
    <mergeCell ref="AW29:AY30"/>
    <mergeCell ref="AT29:AV30"/>
    <mergeCell ref="U23:W24"/>
    <mergeCell ref="K40:W40"/>
    <mergeCell ref="AE23:AG24"/>
    <mergeCell ref="A106:C106"/>
    <mergeCell ref="A1:J1"/>
    <mergeCell ref="K13:K14"/>
    <mergeCell ref="AH29:AJ30"/>
    <mergeCell ref="K23:K24"/>
    <mergeCell ref="K1:K2"/>
    <mergeCell ref="L23:N24"/>
    <mergeCell ref="L13:N14"/>
    <mergeCell ref="L1:N2"/>
    <mergeCell ref="O13:Q14"/>
    <mergeCell ref="O1:Q2"/>
    <mergeCell ref="T1:V2"/>
    <mergeCell ref="R13:T14"/>
    <mergeCell ref="R1:S2"/>
    <mergeCell ref="AE1:AG2"/>
    <mergeCell ref="AE13:AG14"/>
  </mergeCells>
  <pageMargins left="0.7" right="0.7" top="0.75" bottom="0.75" header="0.3" footer="0.3"/>
  <pageSetup paperSize="9" orientation="portrait" r:id="rId1"/>
  <ignoredErrors>
    <ignoredError sqref="E49 J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P102"/>
  <sheetViews>
    <sheetView workbookViewId="0">
      <selection activeCell="L16" sqref="L16:N17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2.625" bestFit="1" customWidth="1"/>
    <col min="12" max="52" width="5.75" customWidth="1"/>
    <col min="53" max="61" width="5.625" customWidth="1"/>
  </cols>
  <sheetData>
    <row r="1" spans="1:68" ht="14.95" customHeight="1" thickBot="1" x14ac:dyDescent="0.3">
      <c r="A1" s="548" t="s">
        <v>905</v>
      </c>
      <c r="B1" s="549"/>
      <c r="C1" s="549"/>
      <c r="D1" s="549"/>
      <c r="E1" s="549"/>
      <c r="F1" s="549"/>
      <c r="G1" s="549"/>
      <c r="H1" s="549"/>
      <c r="I1" s="549"/>
      <c r="J1" s="550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160"/>
      <c r="AB1" s="196"/>
      <c r="AC1" s="457" t="s">
        <v>601</v>
      </c>
      <c r="AD1" s="458"/>
      <c r="AE1" s="459"/>
      <c r="AF1" s="457" t="s">
        <v>494</v>
      </c>
      <c r="AG1" s="458"/>
      <c r="AH1" s="459"/>
      <c r="AI1" s="457" t="s">
        <v>407</v>
      </c>
      <c r="AJ1" s="458"/>
      <c r="AK1" s="459"/>
      <c r="AL1" s="457" t="s">
        <v>313</v>
      </c>
      <c r="AM1" s="458"/>
      <c r="AN1" s="459"/>
      <c r="AO1" s="457" t="s">
        <v>227</v>
      </c>
      <c r="AP1" s="458"/>
      <c r="AQ1" s="459"/>
      <c r="AR1" s="457" t="s">
        <v>172</v>
      </c>
      <c r="AS1" s="458"/>
      <c r="AT1" s="459"/>
      <c r="AU1" s="457" t="s">
        <v>79</v>
      </c>
      <c r="AV1" s="458"/>
      <c r="AW1" s="459"/>
      <c r="AX1" s="457" t="s">
        <v>54</v>
      </c>
      <c r="AY1" s="458"/>
      <c r="AZ1" s="459"/>
      <c r="BA1" s="457" t="s">
        <v>50</v>
      </c>
      <c r="BB1" s="458"/>
      <c r="BC1" s="459"/>
      <c r="BD1" s="457" t="s">
        <v>37</v>
      </c>
      <c r="BE1" s="458"/>
      <c r="BF1" s="459"/>
      <c r="BG1" s="457" t="s">
        <v>45</v>
      </c>
      <c r="BH1" s="458"/>
      <c r="BI1" s="459"/>
      <c r="BK1" s="4"/>
      <c r="BL1" s="4"/>
      <c r="BM1" s="4"/>
      <c r="BP1" s="4"/>
    </row>
    <row r="2" spans="1:68" ht="14.95" customHeight="1" thickBot="1" x14ac:dyDescent="0.3">
      <c r="A2" s="178" t="s">
        <v>0</v>
      </c>
      <c r="B2" s="114" t="s">
        <v>226</v>
      </c>
      <c r="C2" s="281" t="s">
        <v>31</v>
      </c>
      <c r="D2" s="227" t="s">
        <v>339</v>
      </c>
      <c r="E2" s="107" t="s">
        <v>1</v>
      </c>
      <c r="F2" s="180" t="s">
        <v>2</v>
      </c>
      <c r="G2" s="109" t="s">
        <v>226</v>
      </c>
      <c r="H2" s="265" t="s">
        <v>31</v>
      </c>
      <c r="I2" s="229" t="s">
        <v>339</v>
      </c>
      <c r="J2" s="110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195"/>
      <c r="AA2" s="160"/>
      <c r="AB2" s="196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A2" s="460"/>
      <c r="BB2" s="461"/>
      <c r="BC2" s="462"/>
      <c r="BD2" s="460"/>
      <c r="BE2" s="461"/>
      <c r="BF2" s="462"/>
      <c r="BG2" s="460"/>
      <c r="BH2" s="461"/>
      <c r="BI2" s="462"/>
    </row>
    <row r="3" spans="1:68" ht="14.95" customHeight="1" thickBot="1" x14ac:dyDescent="0.3">
      <c r="A3" s="179" t="s">
        <v>716</v>
      </c>
      <c r="B3" s="77">
        <v>0</v>
      </c>
      <c r="C3" s="282">
        <v>1</v>
      </c>
      <c r="D3" s="228">
        <v>0</v>
      </c>
      <c r="E3" s="5">
        <f t="shared" ref="E3" si="0">SUM(B3:D3)</f>
        <v>1</v>
      </c>
      <c r="F3" s="182" t="s">
        <v>716</v>
      </c>
      <c r="G3" s="78">
        <v>0</v>
      </c>
      <c r="H3" s="266">
        <v>5</v>
      </c>
      <c r="I3" s="230">
        <v>0</v>
      </c>
      <c r="J3" s="63">
        <f t="shared" ref="J3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179" t="s">
        <v>563</v>
      </c>
      <c r="B4" s="77">
        <v>0</v>
      </c>
      <c r="C4" s="282">
        <v>0</v>
      </c>
      <c r="D4" s="228">
        <v>0</v>
      </c>
      <c r="E4" s="5">
        <f t="shared" ref="E4:E49" si="2">SUM(B4:D4)</f>
        <v>0</v>
      </c>
      <c r="F4" s="182" t="s">
        <v>564</v>
      </c>
      <c r="G4" s="78">
        <v>0</v>
      </c>
      <c r="H4" s="266">
        <v>0</v>
      </c>
      <c r="I4" s="230">
        <v>0</v>
      </c>
      <c r="J4" s="63">
        <f t="shared" ref="J4:J49" si="3">SUM(G4:I4)</f>
        <v>0</v>
      </c>
      <c r="K4" s="179" t="s">
        <v>1019</v>
      </c>
      <c r="L4" s="5">
        <v>0</v>
      </c>
      <c r="M4" s="5">
        <v>2</v>
      </c>
      <c r="N4" s="183">
        <f t="shared" ref="N4:N5" si="4">SUM(L4/M4)*100</f>
        <v>0</v>
      </c>
      <c r="O4" s="5" t="s">
        <v>15</v>
      </c>
      <c r="P4" s="5" t="s">
        <v>15</v>
      </c>
      <c r="Q4" s="183" t="s">
        <v>15</v>
      </c>
      <c r="R4" s="5">
        <v>-2</v>
      </c>
      <c r="S4" s="5">
        <v>-1</v>
      </c>
      <c r="T4" s="7">
        <v>18</v>
      </c>
      <c r="U4" s="7">
        <v>22</v>
      </c>
      <c r="V4" s="153">
        <v>81.818181818181827</v>
      </c>
      <c r="W4" s="7">
        <v>19</v>
      </c>
      <c r="X4" s="7">
        <v>29</v>
      </c>
      <c r="Y4" s="153">
        <v>65.517241379310349</v>
      </c>
      <c r="Z4" s="93"/>
      <c r="AA4" s="94"/>
      <c r="AB4" s="197"/>
      <c r="AC4" s="7">
        <v>39</v>
      </c>
      <c r="AD4" s="7">
        <v>56</v>
      </c>
      <c r="AE4" s="153">
        <v>69.642857142857139</v>
      </c>
      <c r="AF4" s="7">
        <v>55</v>
      </c>
      <c r="AG4" s="7">
        <v>70</v>
      </c>
      <c r="AH4" s="153">
        <v>78.571428571428569</v>
      </c>
      <c r="AI4" s="7">
        <v>18</v>
      </c>
      <c r="AJ4" s="7">
        <v>21</v>
      </c>
      <c r="AK4" s="153">
        <v>85.714285714285708</v>
      </c>
      <c r="AL4" s="7" t="s">
        <v>15</v>
      </c>
      <c r="AM4" s="7" t="s">
        <v>15</v>
      </c>
      <c r="AN4" s="153" t="s">
        <v>15</v>
      </c>
      <c r="AO4" s="7" t="s">
        <v>15</v>
      </c>
      <c r="AP4" s="7" t="s">
        <v>15</v>
      </c>
      <c r="AQ4" s="153" t="s">
        <v>15</v>
      </c>
      <c r="AR4" s="148" t="s">
        <v>15</v>
      </c>
      <c r="AS4" s="7" t="s">
        <v>15</v>
      </c>
      <c r="AT4" s="153" t="s">
        <v>15</v>
      </c>
      <c r="AU4" s="7" t="s">
        <v>15</v>
      </c>
      <c r="AV4" s="7" t="s">
        <v>15</v>
      </c>
      <c r="AW4" s="153" t="s">
        <v>15</v>
      </c>
      <c r="AX4" s="7" t="s">
        <v>15</v>
      </c>
      <c r="AY4" s="7" t="s">
        <v>15</v>
      </c>
      <c r="AZ4" s="153" t="s">
        <v>15</v>
      </c>
      <c r="BA4" s="7" t="s">
        <v>15</v>
      </c>
      <c r="BB4" s="7" t="s">
        <v>15</v>
      </c>
      <c r="BC4" s="153" t="s">
        <v>15</v>
      </c>
      <c r="BD4" s="7" t="s">
        <v>15</v>
      </c>
      <c r="BE4" s="7" t="s">
        <v>15</v>
      </c>
      <c r="BF4" s="153" t="s">
        <v>15</v>
      </c>
      <c r="BG4" s="7" t="s">
        <v>15</v>
      </c>
      <c r="BH4" s="7" t="s">
        <v>15</v>
      </c>
      <c r="BI4" s="153" t="s">
        <v>15</v>
      </c>
    </row>
    <row r="5" spans="1:68" ht="14.95" customHeight="1" thickBot="1" x14ac:dyDescent="0.3">
      <c r="A5" s="179" t="s">
        <v>1094</v>
      </c>
      <c r="B5" s="77">
        <v>1</v>
      </c>
      <c r="C5" s="282">
        <v>1</v>
      </c>
      <c r="D5" s="228">
        <v>0</v>
      </c>
      <c r="E5" s="5">
        <f t="shared" si="2"/>
        <v>2</v>
      </c>
      <c r="F5" s="182" t="s">
        <v>1094</v>
      </c>
      <c r="G5" s="78">
        <v>5</v>
      </c>
      <c r="H5" s="266">
        <v>5</v>
      </c>
      <c r="I5" s="230">
        <v>0</v>
      </c>
      <c r="J5" s="63">
        <f t="shared" si="3"/>
        <v>10</v>
      </c>
      <c r="K5" s="179" t="s">
        <v>255</v>
      </c>
      <c r="L5" s="5">
        <v>20</v>
      </c>
      <c r="M5" s="5">
        <v>25</v>
      </c>
      <c r="N5" s="183">
        <f t="shared" si="4"/>
        <v>80</v>
      </c>
      <c r="O5" s="5" t="s">
        <v>15</v>
      </c>
      <c r="P5" s="5" t="s">
        <v>15</v>
      </c>
      <c r="Q5" s="183" t="s">
        <v>15</v>
      </c>
      <c r="R5" s="5">
        <v>2</v>
      </c>
      <c r="S5" s="5">
        <v>2</v>
      </c>
      <c r="T5" s="7">
        <v>33</v>
      </c>
      <c r="U5" s="7">
        <v>42</v>
      </c>
      <c r="V5" s="153">
        <v>78.571428571428569</v>
      </c>
      <c r="W5" s="7">
        <v>25</v>
      </c>
      <c r="X5" s="7">
        <v>34</v>
      </c>
      <c r="Y5" s="153">
        <v>73.529411764705884</v>
      </c>
      <c r="Z5" s="93"/>
      <c r="AA5" s="94"/>
      <c r="AB5" s="197"/>
      <c r="AC5" s="7">
        <v>54</v>
      </c>
      <c r="AD5" s="7">
        <v>66</v>
      </c>
      <c r="AE5" s="153">
        <v>81.818181818181827</v>
      </c>
      <c r="AF5" s="7">
        <v>22</v>
      </c>
      <c r="AG5" s="7">
        <v>27</v>
      </c>
      <c r="AH5" s="153">
        <f>SUM(AF5/AG5)*100</f>
        <v>81.481481481481481</v>
      </c>
      <c r="AI5" s="148">
        <v>35</v>
      </c>
      <c r="AJ5" s="7">
        <v>51</v>
      </c>
      <c r="AK5" s="153">
        <f>SUM(AI5/AJ5)*100</f>
        <v>68.627450980392155</v>
      </c>
      <c r="AL5" s="148" t="s">
        <v>15</v>
      </c>
      <c r="AM5" s="7" t="s">
        <v>15</v>
      </c>
      <c r="AN5" s="153" t="s">
        <v>15</v>
      </c>
      <c r="AO5" s="148">
        <v>5</v>
      </c>
      <c r="AP5" s="7">
        <v>6</v>
      </c>
      <c r="AQ5" s="7">
        <v>100</v>
      </c>
      <c r="AR5" s="148" t="s">
        <v>15</v>
      </c>
      <c r="AS5" s="7" t="s">
        <v>15</v>
      </c>
      <c r="AT5" s="153" t="s">
        <v>15</v>
      </c>
      <c r="AU5" s="7" t="s">
        <v>15</v>
      </c>
      <c r="AV5" s="7" t="s">
        <v>15</v>
      </c>
      <c r="AW5" s="153" t="s">
        <v>15</v>
      </c>
      <c r="AX5" s="7" t="s">
        <v>15</v>
      </c>
      <c r="AY5" s="7" t="s">
        <v>15</v>
      </c>
      <c r="AZ5" s="153" t="s">
        <v>15</v>
      </c>
      <c r="BA5" s="7" t="s">
        <v>15</v>
      </c>
      <c r="BB5" s="7" t="s">
        <v>15</v>
      </c>
      <c r="BC5" s="153" t="s">
        <v>15</v>
      </c>
      <c r="BD5" s="7" t="s">
        <v>15</v>
      </c>
      <c r="BE5" s="7" t="s">
        <v>15</v>
      </c>
      <c r="BF5" s="153" t="s">
        <v>15</v>
      </c>
      <c r="BG5" s="7" t="s">
        <v>15</v>
      </c>
      <c r="BH5" s="7" t="s">
        <v>15</v>
      </c>
      <c r="BI5" s="153" t="s">
        <v>15</v>
      </c>
    </row>
    <row r="6" spans="1:68" ht="14.95" customHeight="1" thickBot="1" x14ac:dyDescent="0.3">
      <c r="A6" s="179" t="s">
        <v>250</v>
      </c>
      <c r="B6" s="77">
        <v>0</v>
      </c>
      <c r="C6" s="282">
        <v>0</v>
      </c>
      <c r="D6" s="228">
        <v>0</v>
      </c>
      <c r="E6" s="5">
        <f t="shared" si="2"/>
        <v>0</v>
      </c>
      <c r="F6" s="182" t="s">
        <v>250</v>
      </c>
      <c r="G6" s="78">
        <v>0</v>
      </c>
      <c r="H6" s="266">
        <v>0</v>
      </c>
      <c r="I6" s="230">
        <v>0</v>
      </c>
      <c r="J6" s="63">
        <f t="shared" si="3"/>
        <v>0</v>
      </c>
      <c r="K6" s="179" t="s">
        <v>788</v>
      </c>
      <c r="L6" s="5" t="s">
        <v>15</v>
      </c>
      <c r="M6" s="5" t="s">
        <v>15</v>
      </c>
      <c r="N6" s="183" t="s">
        <v>15</v>
      </c>
      <c r="O6" s="5">
        <v>1</v>
      </c>
      <c r="P6" s="5">
        <v>2</v>
      </c>
      <c r="Q6" s="183">
        <f t="shared" ref="Q6" si="5">SUM(O6/P6)*100</f>
        <v>50</v>
      </c>
      <c r="R6" s="5">
        <v>6</v>
      </c>
      <c r="S6" s="5">
        <v>1</v>
      </c>
      <c r="T6" s="7">
        <v>9</v>
      </c>
      <c r="U6" s="7">
        <v>10</v>
      </c>
      <c r="V6" s="153">
        <v>90</v>
      </c>
      <c r="W6" s="7" t="s">
        <v>15</v>
      </c>
      <c r="X6" s="7" t="s">
        <v>15</v>
      </c>
      <c r="Y6" s="153" t="s">
        <v>15</v>
      </c>
      <c r="Z6" s="93"/>
      <c r="AA6" s="94"/>
      <c r="AB6" s="197"/>
      <c r="AC6" s="7" t="s">
        <v>15</v>
      </c>
      <c r="AD6" s="7" t="s">
        <v>15</v>
      </c>
      <c r="AE6" s="153" t="s">
        <v>15</v>
      </c>
      <c r="AF6" s="7" t="s">
        <v>15</v>
      </c>
      <c r="AG6" s="7" t="s">
        <v>15</v>
      </c>
      <c r="AH6" s="153" t="s">
        <v>15</v>
      </c>
      <c r="AI6" s="7" t="s">
        <v>15</v>
      </c>
      <c r="AJ6" s="7" t="s">
        <v>15</v>
      </c>
      <c r="AK6" s="153" t="s">
        <v>15</v>
      </c>
      <c r="AL6" s="7" t="s">
        <v>15</v>
      </c>
      <c r="AM6" s="7" t="s">
        <v>15</v>
      </c>
      <c r="AN6" s="153" t="s">
        <v>15</v>
      </c>
      <c r="AO6" s="7" t="s">
        <v>15</v>
      </c>
      <c r="AP6" s="7" t="s">
        <v>15</v>
      </c>
      <c r="AQ6" s="153" t="s">
        <v>15</v>
      </c>
      <c r="AR6" s="7" t="s">
        <v>15</v>
      </c>
      <c r="AS6" s="7" t="s">
        <v>15</v>
      </c>
      <c r="AT6" s="153" t="s">
        <v>15</v>
      </c>
      <c r="AU6" s="7" t="s">
        <v>15</v>
      </c>
      <c r="AV6" s="7" t="s">
        <v>15</v>
      </c>
      <c r="AW6" s="153" t="s">
        <v>15</v>
      </c>
      <c r="AX6" s="7" t="s">
        <v>15</v>
      </c>
      <c r="AY6" s="7" t="s">
        <v>15</v>
      </c>
      <c r="AZ6" s="153" t="s">
        <v>15</v>
      </c>
      <c r="BA6" s="7" t="s">
        <v>15</v>
      </c>
      <c r="BB6" s="7" t="s">
        <v>15</v>
      </c>
      <c r="BC6" s="153" t="s">
        <v>15</v>
      </c>
      <c r="BD6" s="7" t="s">
        <v>15</v>
      </c>
      <c r="BE6" s="7" t="s">
        <v>15</v>
      </c>
      <c r="BF6" s="153" t="s">
        <v>15</v>
      </c>
      <c r="BG6" s="7" t="s">
        <v>15</v>
      </c>
      <c r="BH6" s="7" t="s">
        <v>15</v>
      </c>
      <c r="BI6" s="153" t="s">
        <v>15</v>
      </c>
    </row>
    <row r="7" spans="1:68" ht="14.95" customHeight="1" thickBot="1" x14ac:dyDescent="0.3">
      <c r="A7" s="179" t="s">
        <v>222</v>
      </c>
      <c r="B7" s="77">
        <v>0</v>
      </c>
      <c r="C7" s="282">
        <v>0</v>
      </c>
      <c r="D7" s="228">
        <v>0</v>
      </c>
      <c r="E7" s="5">
        <f t="shared" si="2"/>
        <v>0</v>
      </c>
      <c r="F7" s="182" t="s">
        <v>222</v>
      </c>
      <c r="G7" s="78">
        <v>0</v>
      </c>
      <c r="H7" s="266">
        <v>0</v>
      </c>
      <c r="I7" s="230">
        <v>0</v>
      </c>
      <c r="J7" s="63">
        <f t="shared" si="3"/>
        <v>0</v>
      </c>
      <c r="K7" s="179" t="s">
        <v>68</v>
      </c>
      <c r="L7" s="5" t="s">
        <v>15</v>
      </c>
      <c r="M7" s="5" t="s">
        <v>15</v>
      </c>
      <c r="N7" s="183" t="s">
        <v>15</v>
      </c>
      <c r="O7" s="5" t="s">
        <v>15</v>
      </c>
      <c r="P7" s="5" t="s">
        <v>15</v>
      </c>
      <c r="Q7" s="183" t="s">
        <v>15</v>
      </c>
      <c r="R7" s="5">
        <v>-1</v>
      </c>
      <c r="S7" s="5">
        <v>-1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3"/>
      <c r="AA7" s="94"/>
      <c r="AB7" s="197"/>
      <c r="AC7" s="7" t="s">
        <v>15</v>
      </c>
      <c r="AD7" s="7" t="s">
        <v>15</v>
      </c>
      <c r="AE7" s="153" t="s">
        <v>15</v>
      </c>
      <c r="AF7" s="7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>
        <v>0</v>
      </c>
      <c r="AP7" s="7">
        <v>1</v>
      </c>
      <c r="AQ7" s="7">
        <v>0</v>
      </c>
      <c r="AR7" s="148" t="s">
        <v>15</v>
      </c>
      <c r="AS7" s="7" t="s">
        <v>15</v>
      </c>
      <c r="AT7" s="153" t="s">
        <v>15</v>
      </c>
      <c r="AU7" s="7" t="s">
        <v>15</v>
      </c>
      <c r="AV7" s="7" t="s">
        <v>15</v>
      </c>
      <c r="AW7" s="153" t="s">
        <v>15</v>
      </c>
      <c r="AX7" s="7" t="s">
        <v>15</v>
      </c>
      <c r="AY7" s="7" t="s">
        <v>15</v>
      </c>
      <c r="AZ7" s="153" t="s">
        <v>15</v>
      </c>
      <c r="BA7" s="7" t="s">
        <v>15</v>
      </c>
      <c r="BB7" s="7" t="s">
        <v>15</v>
      </c>
      <c r="BC7" s="153" t="s">
        <v>15</v>
      </c>
      <c r="BD7" s="7" t="s">
        <v>15</v>
      </c>
      <c r="BE7" s="7" t="s">
        <v>15</v>
      </c>
      <c r="BF7" s="153" t="s">
        <v>15</v>
      </c>
      <c r="BG7" s="7" t="s">
        <v>15</v>
      </c>
      <c r="BH7" s="7" t="s">
        <v>15</v>
      </c>
      <c r="BI7" s="153" t="s">
        <v>15</v>
      </c>
    </row>
    <row r="8" spans="1:68" ht="14.95" customHeight="1" thickBot="1" x14ac:dyDescent="0.3">
      <c r="A8" s="179" t="s">
        <v>586</v>
      </c>
      <c r="B8" s="77">
        <v>0</v>
      </c>
      <c r="C8" s="282">
        <v>0</v>
      </c>
      <c r="D8" s="228">
        <v>0</v>
      </c>
      <c r="E8" s="5">
        <f t="shared" si="2"/>
        <v>0</v>
      </c>
      <c r="F8" s="182" t="s">
        <v>586</v>
      </c>
      <c r="G8" s="78">
        <v>0</v>
      </c>
      <c r="H8" s="266">
        <v>0</v>
      </c>
      <c r="I8" s="230">
        <v>0</v>
      </c>
      <c r="J8" s="63">
        <f t="shared" si="3"/>
        <v>0</v>
      </c>
      <c r="K8" s="55"/>
      <c r="L8" s="52"/>
      <c r="M8" s="51"/>
      <c r="N8" s="51"/>
      <c r="O8" s="52"/>
      <c r="P8" s="51"/>
      <c r="Q8" s="53"/>
      <c r="R8" s="54"/>
      <c r="S8" s="35"/>
      <c r="T8" s="35"/>
      <c r="U8" s="35"/>
      <c r="V8" s="35"/>
      <c r="W8" s="51"/>
      <c r="X8" s="51"/>
      <c r="Y8" s="51"/>
    </row>
    <row r="9" spans="1:68" ht="14.95" customHeight="1" thickBot="1" x14ac:dyDescent="0.3">
      <c r="A9" s="179" t="s">
        <v>916</v>
      </c>
      <c r="B9" s="77">
        <v>0</v>
      </c>
      <c r="C9" s="282">
        <v>0</v>
      </c>
      <c r="D9" s="228">
        <v>0</v>
      </c>
      <c r="E9" s="5">
        <f t="shared" si="2"/>
        <v>0</v>
      </c>
      <c r="F9" s="182" t="s">
        <v>916</v>
      </c>
      <c r="G9" s="78">
        <v>0</v>
      </c>
      <c r="H9" s="266">
        <v>2</v>
      </c>
      <c r="I9" s="230">
        <v>0</v>
      </c>
      <c r="J9" s="63">
        <f t="shared" si="3"/>
        <v>2</v>
      </c>
      <c r="K9" s="487" t="s">
        <v>196</v>
      </c>
      <c r="L9" s="481" t="s">
        <v>14</v>
      </c>
      <c r="M9" s="482"/>
      <c r="N9" s="483"/>
      <c r="O9" s="457" t="s">
        <v>234</v>
      </c>
      <c r="P9" s="458"/>
      <c r="Q9" s="459"/>
      <c r="R9" s="457" t="s">
        <v>903</v>
      </c>
      <c r="S9" s="458"/>
      <c r="T9" s="459"/>
      <c r="U9" s="457" t="s">
        <v>601</v>
      </c>
      <c r="V9" s="458"/>
      <c r="W9" s="459"/>
      <c r="X9" s="160"/>
      <c r="Y9" s="160"/>
      <c r="Z9" s="160"/>
      <c r="AC9" s="457" t="s">
        <v>494</v>
      </c>
      <c r="AD9" s="458"/>
      <c r="AE9" s="459"/>
      <c r="AF9" s="457" t="s">
        <v>407</v>
      </c>
      <c r="AG9" s="458"/>
      <c r="AH9" s="459"/>
      <c r="AI9" s="457" t="s">
        <v>313</v>
      </c>
      <c r="AJ9" s="458"/>
      <c r="AK9" s="459"/>
      <c r="AL9" s="457" t="s">
        <v>227</v>
      </c>
      <c r="AM9" s="458"/>
      <c r="AN9" s="459"/>
      <c r="AO9" s="457" t="s">
        <v>172</v>
      </c>
      <c r="AP9" s="458"/>
      <c r="AQ9" s="459"/>
      <c r="AR9" s="457" t="s">
        <v>79</v>
      </c>
      <c r="AS9" s="458"/>
      <c r="AT9" s="459"/>
      <c r="AU9" s="457" t="s">
        <v>54</v>
      </c>
      <c r="AV9" s="458"/>
      <c r="AW9" s="459"/>
      <c r="AX9" s="457" t="s">
        <v>50</v>
      </c>
      <c r="AY9" s="458"/>
      <c r="AZ9" s="459"/>
      <c r="BA9" s="457" t="s">
        <v>60</v>
      </c>
      <c r="BB9" s="458"/>
      <c r="BC9" s="459"/>
    </row>
    <row r="10" spans="1:68" ht="14.95" customHeight="1" thickBot="1" x14ac:dyDescent="0.3">
      <c r="A10" s="179" t="s">
        <v>1091</v>
      </c>
      <c r="B10" s="77">
        <v>1</v>
      </c>
      <c r="C10" s="282">
        <v>1</v>
      </c>
      <c r="D10" s="228">
        <v>0</v>
      </c>
      <c r="E10" s="5">
        <f t="shared" si="2"/>
        <v>2</v>
      </c>
      <c r="F10" s="182" t="s">
        <v>1091</v>
      </c>
      <c r="G10" s="78">
        <v>5</v>
      </c>
      <c r="H10" s="266">
        <v>5</v>
      </c>
      <c r="I10" s="230">
        <v>0</v>
      </c>
      <c r="J10" s="63">
        <f t="shared" si="3"/>
        <v>10</v>
      </c>
      <c r="K10" s="488"/>
      <c r="L10" s="484"/>
      <c r="M10" s="485"/>
      <c r="N10" s="486"/>
      <c r="O10" s="460"/>
      <c r="P10" s="461"/>
      <c r="Q10" s="462"/>
      <c r="R10" s="460"/>
      <c r="S10" s="461"/>
      <c r="T10" s="462"/>
      <c r="U10" s="460"/>
      <c r="V10" s="461"/>
      <c r="W10" s="462"/>
      <c r="X10" s="160"/>
      <c r="Y10" s="160"/>
      <c r="Z10" s="160"/>
      <c r="AC10" s="460"/>
      <c r="AD10" s="461"/>
      <c r="AE10" s="462"/>
      <c r="AF10" s="460"/>
      <c r="AG10" s="461"/>
      <c r="AH10" s="462"/>
      <c r="AI10" s="460"/>
      <c r="AJ10" s="461"/>
      <c r="AK10" s="462"/>
      <c r="AL10" s="460"/>
      <c r="AM10" s="461"/>
      <c r="AN10" s="462"/>
      <c r="AO10" s="460"/>
      <c r="AP10" s="461"/>
      <c r="AQ10" s="462"/>
      <c r="AR10" s="460"/>
      <c r="AS10" s="461"/>
      <c r="AT10" s="462"/>
      <c r="AU10" s="460"/>
      <c r="AV10" s="461"/>
      <c r="AW10" s="462"/>
      <c r="AX10" s="460"/>
      <c r="AY10" s="461"/>
      <c r="AZ10" s="462"/>
      <c r="BA10" s="460"/>
      <c r="BB10" s="461"/>
      <c r="BC10" s="462"/>
    </row>
    <row r="11" spans="1:68" ht="14.95" customHeight="1" thickBot="1" x14ac:dyDescent="0.3">
      <c r="A11" s="179" t="s">
        <v>61</v>
      </c>
      <c r="B11" s="77">
        <v>1</v>
      </c>
      <c r="C11" s="282">
        <v>0</v>
      </c>
      <c r="D11" s="228">
        <v>0</v>
      </c>
      <c r="E11" s="5">
        <f t="shared" si="2"/>
        <v>1</v>
      </c>
      <c r="F11" s="182" t="s">
        <v>61</v>
      </c>
      <c r="G11" s="78">
        <v>5</v>
      </c>
      <c r="H11" s="266">
        <v>0</v>
      </c>
      <c r="I11" s="230">
        <v>0</v>
      </c>
      <c r="J11" s="63">
        <f t="shared" si="3"/>
        <v>5</v>
      </c>
      <c r="K11" s="246" t="s">
        <v>21</v>
      </c>
      <c r="L11" s="3" t="s">
        <v>46</v>
      </c>
      <c r="M11" s="3" t="s">
        <v>9</v>
      </c>
      <c r="N11" s="3" t="s">
        <v>10</v>
      </c>
      <c r="O11" s="7" t="s">
        <v>46</v>
      </c>
      <c r="P11" s="7" t="s">
        <v>9</v>
      </c>
      <c r="Q11" s="7" t="s">
        <v>10</v>
      </c>
      <c r="R11" s="7" t="s">
        <v>46</v>
      </c>
      <c r="S11" s="7" t="s">
        <v>9</v>
      </c>
      <c r="T11" s="7" t="s">
        <v>10</v>
      </c>
      <c r="U11" s="7" t="s">
        <v>46</v>
      </c>
      <c r="V11" s="7" t="s">
        <v>9</v>
      </c>
      <c r="W11" s="7" t="s">
        <v>10</v>
      </c>
      <c r="AC11" s="148" t="s">
        <v>46</v>
      </c>
      <c r="AD11" s="7" t="s">
        <v>9</v>
      </c>
      <c r="AE11" s="7" t="s">
        <v>10</v>
      </c>
      <c r="AF11" s="148" t="s">
        <v>46</v>
      </c>
      <c r="AG11" s="7" t="s">
        <v>9</v>
      </c>
      <c r="AH11" s="7" t="s">
        <v>10</v>
      </c>
      <c r="AI11" s="84" t="s">
        <v>46</v>
      </c>
      <c r="AJ11" s="79" t="s">
        <v>9</v>
      </c>
      <c r="AK11" s="79" t="s">
        <v>10</v>
      </c>
      <c r="AL11" s="148" t="s">
        <v>46</v>
      </c>
      <c r="AM11" s="7" t="s">
        <v>9</v>
      </c>
      <c r="AN11" s="7" t="s">
        <v>10</v>
      </c>
      <c r="AO11" s="148" t="s">
        <v>46</v>
      </c>
      <c r="AP11" s="7" t="s">
        <v>9</v>
      </c>
      <c r="AQ11" s="7" t="s">
        <v>10</v>
      </c>
      <c r="AR11" s="148" t="s">
        <v>46</v>
      </c>
      <c r="AS11" s="7" t="s">
        <v>9</v>
      </c>
      <c r="AT11" s="7" t="s">
        <v>10</v>
      </c>
      <c r="AU11" s="148" t="s">
        <v>46</v>
      </c>
      <c r="AV11" s="7" t="s">
        <v>9</v>
      </c>
      <c r="AW11" s="7" t="s">
        <v>10</v>
      </c>
      <c r="AX11" s="148" t="s">
        <v>46</v>
      </c>
      <c r="AY11" s="7" t="s">
        <v>9</v>
      </c>
      <c r="AZ11" s="7" t="s">
        <v>10</v>
      </c>
      <c r="BA11" s="148" t="s">
        <v>46</v>
      </c>
      <c r="BB11" s="7" t="s">
        <v>9</v>
      </c>
      <c r="BC11" s="7" t="s">
        <v>10</v>
      </c>
    </row>
    <row r="12" spans="1:68" ht="14.95" customHeight="1" thickBot="1" x14ac:dyDescent="0.3">
      <c r="A12" s="179" t="s">
        <v>549</v>
      </c>
      <c r="B12" s="77">
        <v>1</v>
      </c>
      <c r="C12" s="282">
        <v>0</v>
      </c>
      <c r="D12" s="228">
        <v>0</v>
      </c>
      <c r="E12" s="5">
        <f t="shared" si="2"/>
        <v>1</v>
      </c>
      <c r="F12" s="182" t="s">
        <v>549</v>
      </c>
      <c r="G12" s="78">
        <v>5</v>
      </c>
      <c r="H12" s="266">
        <v>0</v>
      </c>
      <c r="I12" s="230">
        <v>0</v>
      </c>
      <c r="J12" s="63">
        <f t="shared" si="3"/>
        <v>5</v>
      </c>
      <c r="K12" s="179" t="s">
        <v>1019</v>
      </c>
      <c r="L12" s="5">
        <v>1</v>
      </c>
      <c r="M12" s="5">
        <v>2</v>
      </c>
      <c r="N12" s="183">
        <f t="shared" ref="N12" si="6">SUM(L12/M12)*100</f>
        <v>50</v>
      </c>
      <c r="O12" s="7" t="s">
        <v>15</v>
      </c>
      <c r="P12" s="7" t="s">
        <v>15</v>
      </c>
      <c r="Q12" s="153" t="s">
        <v>15</v>
      </c>
      <c r="R12" s="7" t="s">
        <v>15</v>
      </c>
      <c r="S12" s="7" t="s">
        <v>15</v>
      </c>
      <c r="T12" s="153" t="s">
        <v>15</v>
      </c>
      <c r="U12" s="7" t="s">
        <v>15</v>
      </c>
      <c r="V12" s="7" t="s">
        <v>15</v>
      </c>
      <c r="W12" s="153" t="s">
        <v>15</v>
      </c>
      <c r="AC12" s="148" t="s">
        <v>15</v>
      </c>
      <c r="AD12" s="7" t="s">
        <v>15</v>
      </c>
      <c r="AE12" s="153" t="s">
        <v>15</v>
      </c>
      <c r="AF12" s="148" t="s">
        <v>15</v>
      </c>
      <c r="AG12" s="7" t="s">
        <v>15</v>
      </c>
      <c r="AH12" s="153" t="s">
        <v>15</v>
      </c>
      <c r="AI12" s="148" t="s">
        <v>15</v>
      </c>
      <c r="AJ12" s="7" t="s">
        <v>15</v>
      </c>
      <c r="AK12" s="7" t="s">
        <v>15</v>
      </c>
      <c r="AL12" s="148" t="s">
        <v>15</v>
      </c>
      <c r="AM12" s="7" t="s">
        <v>15</v>
      </c>
      <c r="AN12" s="7" t="s">
        <v>15</v>
      </c>
      <c r="AO12" s="148" t="s">
        <v>15</v>
      </c>
      <c r="AP12" s="7" t="s">
        <v>15</v>
      </c>
      <c r="AQ12" s="7" t="s">
        <v>15</v>
      </c>
      <c r="AR12" s="148">
        <v>1</v>
      </c>
      <c r="AS12" s="7">
        <v>2</v>
      </c>
      <c r="AT12" s="153">
        <f>SUM(AR12/AS12)*100</f>
        <v>50</v>
      </c>
      <c r="AU12" s="6" t="s">
        <v>15</v>
      </c>
      <c r="AV12" s="7" t="s">
        <v>15</v>
      </c>
      <c r="AW12" s="7" t="s">
        <v>15</v>
      </c>
      <c r="AX12" s="7" t="s">
        <v>15</v>
      </c>
      <c r="AY12" s="7" t="s">
        <v>15</v>
      </c>
      <c r="AZ12" s="7" t="s">
        <v>15</v>
      </c>
      <c r="BA12" s="7" t="s">
        <v>15</v>
      </c>
      <c r="BB12" s="7" t="s">
        <v>15</v>
      </c>
      <c r="BC12" s="7" t="s">
        <v>15</v>
      </c>
    </row>
    <row r="13" spans="1:68" ht="14.95" customHeight="1" thickBot="1" x14ac:dyDescent="0.3">
      <c r="A13" s="179" t="s">
        <v>255</v>
      </c>
      <c r="B13" s="77">
        <v>0</v>
      </c>
      <c r="C13" s="282">
        <v>0</v>
      </c>
      <c r="D13" s="228">
        <v>0</v>
      </c>
      <c r="E13" s="5">
        <f t="shared" si="2"/>
        <v>0</v>
      </c>
      <c r="F13" s="182" t="s">
        <v>255</v>
      </c>
      <c r="G13" s="78">
        <v>48</v>
      </c>
      <c r="H13" s="266">
        <v>10</v>
      </c>
      <c r="I13" s="230">
        <v>15</v>
      </c>
      <c r="J13" s="63">
        <f t="shared" si="3"/>
        <v>73</v>
      </c>
      <c r="K13" s="179" t="s">
        <v>255</v>
      </c>
      <c r="L13" s="5">
        <v>4</v>
      </c>
      <c r="M13" s="5">
        <v>6</v>
      </c>
      <c r="N13" s="183">
        <f t="shared" ref="N13:N14" si="7">SUM(L13/M13)*100</f>
        <v>66.666666666666657</v>
      </c>
      <c r="O13" s="7">
        <v>1</v>
      </c>
      <c r="P13" s="7">
        <v>1</v>
      </c>
      <c r="Q13" s="153">
        <v>100</v>
      </c>
      <c r="R13" s="7">
        <v>6</v>
      </c>
      <c r="S13" s="7">
        <v>8</v>
      </c>
      <c r="T13" s="153">
        <v>75</v>
      </c>
      <c r="U13" s="7" t="s">
        <v>15</v>
      </c>
      <c r="V13" s="7" t="s">
        <v>15</v>
      </c>
      <c r="W13" s="153" t="s">
        <v>15</v>
      </c>
      <c r="AC13" s="148">
        <v>7</v>
      </c>
      <c r="AD13" s="7">
        <v>10</v>
      </c>
      <c r="AE13" s="153">
        <f t="shared" ref="AE13" si="8">SUM(AC13/AD13)*100</f>
        <v>70</v>
      </c>
      <c r="AF13" s="148">
        <v>9</v>
      </c>
      <c r="AG13" s="7">
        <v>13</v>
      </c>
      <c r="AH13" s="153">
        <f>SUM(AF13/AG13)*100</f>
        <v>69.230769230769226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>
        <v>1</v>
      </c>
      <c r="AS13" s="7">
        <v>2</v>
      </c>
      <c r="AT13" s="153">
        <f>SUM(AR13/AS13)*100</f>
        <v>50</v>
      </c>
      <c r="AU13" s="6" t="s">
        <v>15</v>
      </c>
      <c r="AV13" s="7" t="s">
        <v>15</v>
      </c>
      <c r="AW13" s="7" t="s">
        <v>15</v>
      </c>
      <c r="AX13" s="7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</row>
    <row r="14" spans="1:68" ht="14.95" customHeight="1" thickBot="1" x14ac:dyDescent="0.3">
      <c r="A14" s="179" t="s">
        <v>693</v>
      </c>
      <c r="B14" s="77">
        <v>0</v>
      </c>
      <c r="C14" s="282">
        <v>0</v>
      </c>
      <c r="D14" s="228">
        <v>0</v>
      </c>
      <c r="E14" s="5">
        <f t="shared" si="2"/>
        <v>0</v>
      </c>
      <c r="F14" s="182" t="s">
        <v>253</v>
      </c>
      <c r="G14" s="78">
        <v>0</v>
      </c>
      <c r="H14" s="266">
        <v>0</v>
      </c>
      <c r="I14" s="230">
        <v>0</v>
      </c>
      <c r="J14" s="63">
        <f t="shared" si="3"/>
        <v>0</v>
      </c>
      <c r="K14" s="179" t="s">
        <v>788</v>
      </c>
      <c r="L14" s="5">
        <v>4</v>
      </c>
      <c r="M14" s="5">
        <v>6</v>
      </c>
      <c r="N14" s="183">
        <f t="shared" si="7"/>
        <v>66.666666666666657</v>
      </c>
      <c r="O14" s="7" t="s">
        <v>15</v>
      </c>
      <c r="P14" s="7" t="s">
        <v>15</v>
      </c>
      <c r="Q14" s="153" t="s">
        <v>15</v>
      </c>
      <c r="R14" s="7" t="s">
        <v>15</v>
      </c>
      <c r="S14" s="7" t="s">
        <v>15</v>
      </c>
      <c r="T14" s="153" t="s">
        <v>15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 t="s">
        <v>15</v>
      </c>
      <c r="AJ14" s="7" t="s">
        <v>15</v>
      </c>
      <c r="AK14" s="7" t="s">
        <v>15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>
        <v>1</v>
      </c>
      <c r="AS14" s="7">
        <v>2</v>
      </c>
      <c r="AT14" s="153">
        <f>SUM(AR14/AS14)*100</f>
        <v>50</v>
      </c>
      <c r="AU14" s="6" t="s">
        <v>15</v>
      </c>
      <c r="AV14" s="7" t="s">
        <v>15</v>
      </c>
      <c r="AW14" s="7" t="s">
        <v>15</v>
      </c>
      <c r="AX14" s="7" t="s">
        <v>15</v>
      </c>
      <c r="AY14" s="7" t="s">
        <v>15</v>
      </c>
      <c r="AZ14" s="7" t="s">
        <v>15</v>
      </c>
      <c r="BA14" s="7" t="s">
        <v>15</v>
      </c>
      <c r="BB14" s="7" t="s">
        <v>15</v>
      </c>
      <c r="BC14" s="7" t="s">
        <v>15</v>
      </c>
    </row>
    <row r="15" spans="1:68" ht="14.95" customHeight="1" thickBot="1" x14ac:dyDescent="0.3">
      <c r="A15" s="179" t="s">
        <v>694</v>
      </c>
      <c r="B15" s="77">
        <v>0</v>
      </c>
      <c r="C15" s="282">
        <v>0</v>
      </c>
      <c r="D15" s="228">
        <v>0</v>
      </c>
      <c r="E15" s="5">
        <f t="shared" si="2"/>
        <v>0</v>
      </c>
      <c r="F15" s="182" t="s">
        <v>694</v>
      </c>
      <c r="G15" s="78">
        <v>0</v>
      </c>
      <c r="H15" s="266">
        <v>0</v>
      </c>
      <c r="I15" s="230">
        <v>0</v>
      </c>
      <c r="J15" s="63">
        <f t="shared" si="3"/>
        <v>0</v>
      </c>
    </row>
    <row r="16" spans="1:68" ht="14.95" customHeight="1" thickBot="1" x14ac:dyDescent="0.3">
      <c r="A16" s="179" t="s">
        <v>720</v>
      </c>
      <c r="B16" s="77">
        <v>0</v>
      </c>
      <c r="C16" s="282">
        <v>0</v>
      </c>
      <c r="D16" s="228">
        <v>0</v>
      </c>
      <c r="E16" s="5">
        <f t="shared" si="2"/>
        <v>0</v>
      </c>
      <c r="F16" s="182" t="s">
        <v>720</v>
      </c>
      <c r="G16" s="78">
        <v>0</v>
      </c>
      <c r="H16" s="266">
        <v>0</v>
      </c>
      <c r="I16" s="230">
        <v>0</v>
      </c>
      <c r="J16" s="63">
        <f t="shared" si="3"/>
        <v>0</v>
      </c>
      <c r="K16" s="492" t="s">
        <v>195</v>
      </c>
      <c r="L16" s="457" t="s">
        <v>14</v>
      </c>
      <c r="M16" s="458"/>
      <c r="N16" s="459"/>
      <c r="O16" s="457" t="s">
        <v>234</v>
      </c>
      <c r="P16" s="458"/>
      <c r="Q16" s="459"/>
      <c r="R16" s="457" t="s">
        <v>903</v>
      </c>
      <c r="S16" s="458"/>
      <c r="T16" s="459"/>
      <c r="U16" s="457" t="s">
        <v>601</v>
      </c>
      <c r="V16" s="458"/>
      <c r="W16" s="459"/>
      <c r="AC16" s="457" t="s">
        <v>494</v>
      </c>
      <c r="AD16" s="458"/>
      <c r="AE16" s="459"/>
      <c r="AF16" s="457" t="s">
        <v>407</v>
      </c>
      <c r="AG16" s="458"/>
      <c r="AH16" s="459"/>
      <c r="AI16" s="457" t="s">
        <v>313</v>
      </c>
      <c r="AJ16" s="458"/>
      <c r="AK16" s="459"/>
      <c r="AL16" s="457" t="s">
        <v>227</v>
      </c>
      <c r="AM16" s="458"/>
      <c r="AN16" s="459"/>
      <c r="AO16" s="457" t="s">
        <v>172</v>
      </c>
      <c r="AP16" s="458"/>
      <c r="AQ16" s="459"/>
      <c r="AR16" s="457" t="s">
        <v>79</v>
      </c>
      <c r="AS16" s="458"/>
      <c r="AT16" s="459"/>
      <c r="AU16" s="457" t="s">
        <v>54</v>
      </c>
      <c r="AV16" s="458"/>
      <c r="AW16" s="459"/>
      <c r="AX16" s="457" t="s">
        <v>50</v>
      </c>
      <c r="AY16" s="458"/>
      <c r="AZ16" s="459"/>
      <c r="BA16" s="457" t="s">
        <v>60</v>
      </c>
      <c r="BB16" s="458"/>
      <c r="BC16" s="459"/>
    </row>
    <row r="17" spans="1:55" ht="14.95" customHeight="1" thickBot="1" x14ac:dyDescent="0.3">
      <c r="A17" s="179" t="s">
        <v>508</v>
      </c>
      <c r="B17" s="77">
        <v>0</v>
      </c>
      <c r="C17" s="282">
        <v>0</v>
      </c>
      <c r="D17" s="228">
        <v>0</v>
      </c>
      <c r="E17" s="5">
        <f t="shared" ref="E17:E18" si="9">SUM(B17:D17)</f>
        <v>0</v>
      </c>
      <c r="F17" s="182" t="s">
        <v>508</v>
      </c>
      <c r="G17" s="78">
        <v>0</v>
      </c>
      <c r="H17" s="266">
        <v>0</v>
      </c>
      <c r="I17" s="230">
        <v>0</v>
      </c>
      <c r="J17" s="63">
        <f t="shared" ref="J17:J18" si="10">SUM(G17:I17)</f>
        <v>0</v>
      </c>
      <c r="K17" s="493"/>
      <c r="L17" s="460"/>
      <c r="M17" s="461"/>
      <c r="N17" s="462"/>
      <c r="O17" s="460"/>
      <c r="P17" s="461"/>
      <c r="Q17" s="462"/>
      <c r="R17" s="460"/>
      <c r="S17" s="461"/>
      <c r="T17" s="462"/>
      <c r="U17" s="460"/>
      <c r="V17" s="461"/>
      <c r="W17" s="462"/>
      <c r="AC17" s="460"/>
      <c r="AD17" s="461"/>
      <c r="AE17" s="462"/>
      <c r="AF17" s="460"/>
      <c r="AG17" s="461"/>
      <c r="AH17" s="462"/>
      <c r="AI17" s="460"/>
      <c r="AJ17" s="461"/>
      <c r="AK17" s="462"/>
      <c r="AL17" s="460"/>
      <c r="AM17" s="461"/>
      <c r="AN17" s="462"/>
      <c r="AO17" s="460"/>
      <c r="AP17" s="461"/>
      <c r="AQ17" s="462"/>
      <c r="AR17" s="460"/>
      <c r="AS17" s="461"/>
      <c r="AT17" s="462"/>
      <c r="AU17" s="460"/>
      <c r="AV17" s="461"/>
      <c r="AW17" s="462"/>
      <c r="AX17" s="460"/>
      <c r="AY17" s="461"/>
      <c r="AZ17" s="462"/>
      <c r="BA17" s="460"/>
      <c r="BB17" s="461"/>
      <c r="BC17" s="462"/>
    </row>
    <row r="18" spans="1:55" ht="14.95" customHeight="1" thickBot="1" x14ac:dyDescent="0.3">
      <c r="A18" s="179" t="s">
        <v>553</v>
      </c>
      <c r="B18" s="77">
        <v>0</v>
      </c>
      <c r="C18" s="282">
        <v>0</v>
      </c>
      <c r="D18" s="228">
        <v>0</v>
      </c>
      <c r="E18" s="5">
        <f t="shared" si="9"/>
        <v>0</v>
      </c>
      <c r="F18" s="182" t="s">
        <v>553</v>
      </c>
      <c r="G18" s="78">
        <v>0</v>
      </c>
      <c r="H18" s="266">
        <v>0</v>
      </c>
      <c r="I18" s="230">
        <v>0</v>
      </c>
      <c r="J18" s="63">
        <f t="shared" si="10"/>
        <v>0</v>
      </c>
      <c r="K18" s="252" t="s">
        <v>21</v>
      </c>
      <c r="L18" s="7" t="s">
        <v>46</v>
      </c>
      <c r="M18" s="7" t="s">
        <v>9</v>
      </c>
      <c r="N18" s="7" t="s">
        <v>10</v>
      </c>
      <c r="O18" s="7" t="s">
        <v>46</v>
      </c>
      <c r="P18" s="7" t="s">
        <v>9</v>
      </c>
      <c r="Q18" s="7" t="s">
        <v>10</v>
      </c>
      <c r="R18" s="7" t="s">
        <v>46</v>
      </c>
      <c r="S18" s="7" t="s">
        <v>9</v>
      </c>
      <c r="T18" s="7" t="s">
        <v>10</v>
      </c>
      <c r="U18" s="7" t="s">
        <v>46</v>
      </c>
      <c r="V18" s="7" t="s">
        <v>9</v>
      </c>
      <c r="W18" s="7" t="s">
        <v>10</v>
      </c>
      <c r="AC18" s="148" t="s">
        <v>46</v>
      </c>
      <c r="AD18" s="7" t="s">
        <v>9</v>
      </c>
      <c r="AE18" s="7" t="s">
        <v>10</v>
      </c>
      <c r="AF18" s="148" t="s">
        <v>46</v>
      </c>
      <c r="AG18" s="7" t="s">
        <v>9</v>
      </c>
      <c r="AH18" s="7" t="s">
        <v>10</v>
      </c>
      <c r="AI18" s="84" t="s">
        <v>46</v>
      </c>
      <c r="AJ18" s="79" t="s">
        <v>9</v>
      </c>
      <c r="AK18" s="79" t="s">
        <v>10</v>
      </c>
      <c r="AL18" s="148" t="s">
        <v>46</v>
      </c>
      <c r="AM18" s="7" t="s">
        <v>9</v>
      </c>
      <c r="AN18" s="7" t="s">
        <v>10</v>
      </c>
      <c r="AO18" s="148" t="s">
        <v>46</v>
      </c>
      <c r="AP18" s="7" t="s">
        <v>9</v>
      </c>
      <c r="AQ18" s="7" t="s">
        <v>10</v>
      </c>
      <c r="AR18" s="148" t="s">
        <v>46</v>
      </c>
      <c r="AS18" s="7" t="s">
        <v>9</v>
      </c>
      <c r="AT18" s="7" t="s">
        <v>10</v>
      </c>
      <c r="AU18" s="148" t="s">
        <v>46</v>
      </c>
      <c r="AV18" s="7" t="s">
        <v>9</v>
      </c>
      <c r="AW18" s="7" t="s">
        <v>10</v>
      </c>
      <c r="AX18" s="148" t="s">
        <v>46</v>
      </c>
      <c r="AY18" s="7" t="s">
        <v>9</v>
      </c>
      <c r="AZ18" s="7" t="s">
        <v>10</v>
      </c>
      <c r="BA18" s="148" t="s">
        <v>46</v>
      </c>
      <c r="BB18" s="7" t="s">
        <v>9</v>
      </c>
      <c r="BC18" s="7" t="s">
        <v>10</v>
      </c>
    </row>
    <row r="19" spans="1:55" ht="14.95" customHeight="1" thickBot="1" x14ac:dyDescent="0.3">
      <c r="A19" s="179" t="s">
        <v>450</v>
      </c>
      <c r="B19" s="77">
        <v>0</v>
      </c>
      <c r="C19" s="282">
        <v>0</v>
      </c>
      <c r="D19" s="228">
        <v>0</v>
      </c>
      <c r="E19" s="5">
        <f t="shared" si="2"/>
        <v>0</v>
      </c>
      <c r="F19" s="182" t="s">
        <v>450</v>
      </c>
      <c r="G19" s="78">
        <v>0</v>
      </c>
      <c r="H19" s="266">
        <v>0</v>
      </c>
      <c r="I19" s="230">
        <v>0</v>
      </c>
      <c r="J19" s="63">
        <f t="shared" si="3"/>
        <v>0</v>
      </c>
      <c r="K19" s="179" t="s">
        <v>1019</v>
      </c>
      <c r="L19" s="7" t="s">
        <v>15</v>
      </c>
      <c r="M19" s="7" t="s">
        <v>15</v>
      </c>
      <c r="N19" s="153" t="s">
        <v>15</v>
      </c>
      <c r="O19" s="7">
        <v>4</v>
      </c>
      <c r="P19" s="7">
        <v>6</v>
      </c>
      <c r="Q19" s="153">
        <v>66.666666666666657</v>
      </c>
      <c r="R19" s="7" t="s">
        <v>15</v>
      </c>
      <c r="S19" s="7" t="s">
        <v>15</v>
      </c>
      <c r="T19" s="153" t="s">
        <v>15</v>
      </c>
      <c r="U19" s="7">
        <v>0</v>
      </c>
      <c r="V19" s="7">
        <v>1</v>
      </c>
      <c r="W19" s="153">
        <v>0</v>
      </c>
      <c r="AC19" s="148" t="s">
        <v>15</v>
      </c>
      <c r="AD19" s="7" t="s">
        <v>15</v>
      </c>
      <c r="AE19" s="153" t="s">
        <v>15</v>
      </c>
      <c r="AF19" s="148" t="s">
        <v>15</v>
      </c>
      <c r="AG19" s="7" t="s">
        <v>15</v>
      </c>
      <c r="AH19" s="7" t="s">
        <v>15</v>
      </c>
      <c r="AI19" s="148" t="s">
        <v>15</v>
      </c>
      <c r="AJ19" s="7" t="s">
        <v>15</v>
      </c>
      <c r="AK19" s="7" t="s">
        <v>15</v>
      </c>
      <c r="AL19" s="148">
        <v>3</v>
      </c>
      <c r="AM19" s="7">
        <v>3</v>
      </c>
      <c r="AN19" s="153">
        <v>100</v>
      </c>
      <c r="AO19" s="148" t="s">
        <v>15</v>
      </c>
      <c r="AP19" s="7" t="s">
        <v>15</v>
      </c>
      <c r="AQ19" s="7" t="s">
        <v>15</v>
      </c>
      <c r="AR19" s="7" t="s">
        <v>15</v>
      </c>
      <c r="AS19" s="7" t="s">
        <v>15</v>
      </c>
      <c r="AT19" s="7" t="s">
        <v>15</v>
      </c>
      <c r="AU19" s="7" t="s">
        <v>15</v>
      </c>
      <c r="AV19" s="7" t="s">
        <v>15</v>
      </c>
      <c r="AW19" s="7" t="s">
        <v>15</v>
      </c>
      <c r="AX19" s="7" t="s">
        <v>15</v>
      </c>
      <c r="AY19" s="7" t="s">
        <v>15</v>
      </c>
      <c r="AZ19" s="7" t="s">
        <v>15</v>
      </c>
      <c r="BA19" s="7" t="s">
        <v>15</v>
      </c>
      <c r="BB19" s="7" t="s">
        <v>15</v>
      </c>
      <c r="BC19" s="7" t="s">
        <v>15</v>
      </c>
    </row>
    <row r="20" spans="1:55" ht="14.95" customHeight="1" thickBot="1" x14ac:dyDescent="0.3">
      <c r="A20" s="179" t="s">
        <v>473</v>
      </c>
      <c r="B20" s="77">
        <v>0</v>
      </c>
      <c r="C20" s="282">
        <v>0</v>
      </c>
      <c r="D20" s="228">
        <v>1</v>
      </c>
      <c r="E20" s="5">
        <f t="shared" si="2"/>
        <v>1</v>
      </c>
      <c r="F20" s="182" t="s">
        <v>473</v>
      </c>
      <c r="G20" s="78">
        <v>0</v>
      </c>
      <c r="H20" s="266">
        <v>0</v>
      </c>
      <c r="I20" s="230">
        <v>5</v>
      </c>
      <c r="J20" s="63">
        <f t="shared" si="3"/>
        <v>5</v>
      </c>
      <c r="K20" s="179" t="s">
        <v>255</v>
      </c>
      <c r="L20" s="7" t="s">
        <v>15</v>
      </c>
      <c r="M20" s="7" t="s">
        <v>15</v>
      </c>
      <c r="N20" s="153" t="s">
        <v>15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C20" s="148" t="s">
        <v>15</v>
      </c>
      <c r="AD20" s="7" t="s">
        <v>15</v>
      </c>
      <c r="AE20" s="153" t="s">
        <v>15</v>
      </c>
      <c r="AF20" s="148" t="s">
        <v>15</v>
      </c>
      <c r="AG20" s="7" t="s">
        <v>15</v>
      </c>
      <c r="AH20" s="7" t="s">
        <v>15</v>
      </c>
      <c r="AI20" s="148" t="s">
        <v>15</v>
      </c>
      <c r="AJ20" s="7" t="s">
        <v>15</v>
      </c>
      <c r="AK20" s="7" t="s">
        <v>15</v>
      </c>
      <c r="AL20" s="148">
        <v>3</v>
      </c>
      <c r="AM20" s="7">
        <v>3</v>
      </c>
      <c r="AN20" s="153">
        <v>100</v>
      </c>
      <c r="AO20" s="148" t="s">
        <v>15</v>
      </c>
      <c r="AP20" s="7" t="s">
        <v>15</v>
      </c>
      <c r="AQ20" s="7" t="s">
        <v>15</v>
      </c>
      <c r="AR20" s="7" t="s">
        <v>15</v>
      </c>
      <c r="AS20" s="7" t="s">
        <v>15</v>
      </c>
      <c r="AT20" s="7" t="s">
        <v>15</v>
      </c>
      <c r="AU20" s="7" t="s">
        <v>15</v>
      </c>
      <c r="AV20" s="7" t="s">
        <v>15</v>
      </c>
      <c r="AW20" s="7" t="s">
        <v>15</v>
      </c>
      <c r="AX20" s="7" t="s">
        <v>15</v>
      </c>
      <c r="AY20" s="7" t="s">
        <v>15</v>
      </c>
      <c r="AZ20" s="7" t="s">
        <v>15</v>
      </c>
      <c r="BA20" s="7" t="s">
        <v>15</v>
      </c>
      <c r="BB20" s="7" t="s">
        <v>15</v>
      </c>
      <c r="BC20" s="7" t="s">
        <v>15</v>
      </c>
    </row>
    <row r="21" spans="1:55" ht="14.95" customHeight="1" thickBot="1" x14ac:dyDescent="0.3">
      <c r="A21" s="179" t="s">
        <v>724</v>
      </c>
      <c r="B21" s="77">
        <v>0</v>
      </c>
      <c r="C21" s="282">
        <v>0</v>
      </c>
      <c r="D21" s="228">
        <v>0</v>
      </c>
      <c r="E21" s="5">
        <f t="shared" si="2"/>
        <v>0</v>
      </c>
      <c r="F21" s="182" t="s">
        <v>724</v>
      </c>
      <c r="G21" s="78">
        <v>0</v>
      </c>
      <c r="H21" s="266">
        <v>0</v>
      </c>
      <c r="I21" s="230">
        <v>0</v>
      </c>
      <c r="J21" s="63">
        <f t="shared" si="3"/>
        <v>0</v>
      </c>
    </row>
    <row r="22" spans="1:55" ht="14.95" customHeight="1" thickBot="1" x14ac:dyDescent="0.3">
      <c r="A22" s="179" t="s">
        <v>788</v>
      </c>
      <c r="B22" s="77">
        <v>1</v>
      </c>
      <c r="C22" s="282">
        <v>0</v>
      </c>
      <c r="D22" s="228">
        <v>0</v>
      </c>
      <c r="E22" s="5">
        <f t="shared" si="2"/>
        <v>1</v>
      </c>
      <c r="F22" s="182" t="s">
        <v>788</v>
      </c>
      <c r="G22" s="78">
        <v>5</v>
      </c>
      <c r="H22" s="266">
        <v>8</v>
      </c>
      <c r="I22" s="230">
        <v>0</v>
      </c>
      <c r="J22" s="63">
        <f t="shared" si="3"/>
        <v>13</v>
      </c>
      <c r="K22" s="479" t="s">
        <v>1032</v>
      </c>
      <c r="L22" s="481" t="s">
        <v>14</v>
      </c>
      <c r="M22" s="482"/>
      <c r="N22" s="483"/>
      <c r="O22" s="457" t="s">
        <v>234</v>
      </c>
      <c r="P22" s="458"/>
      <c r="Q22" s="459"/>
      <c r="R22" s="457" t="s">
        <v>903</v>
      </c>
      <c r="S22" s="458"/>
      <c r="T22" s="459"/>
      <c r="U22" s="457" t="s">
        <v>601</v>
      </c>
      <c r="V22" s="458"/>
      <c r="W22" s="459"/>
      <c r="AC22" s="457" t="s">
        <v>313</v>
      </c>
      <c r="AD22" s="458"/>
      <c r="AE22" s="459"/>
      <c r="AF22" s="457" t="s">
        <v>227</v>
      </c>
      <c r="AG22" s="458"/>
      <c r="AH22" s="459"/>
      <c r="AI22" s="457" t="s">
        <v>172</v>
      </c>
      <c r="AJ22" s="458"/>
      <c r="AK22" s="459"/>
      <c r="AL22" s="457" t="s">
        <v>79</v>
      </c>
      <c r="AM22" s="458"/>
      <c r="AN22" s="459"/>
      <c r="AO22" s="457" t="s">
        <v>54</v>
      </c>
      <c r="AP22" s="458"/>
      <c r="AQ22" s="459"/>
      <c r="AR22" s="457" t="s">
        <v>50</v>
      </c>
      <c r="AS22" s="458"/>
      <c r="AT22" s="459"/>
      <c r="AU22" s="457" t="s">
        <v>37</v>
      </c>
      <c r="AV22" s="458"/>
      <c r="AW22" s="459"/>
    </row>
    <row r="23" spans="1:55" ht="14.95" customHeight="1" thickBot="1" x14ac:dyDescent="0.3">
      <c r="A23" s="179" t="s">
        <v>698</v>
      </c>
      <c r="B23" s="77">
        <v>0</v>
      </c>
      <c r="C23" s="282">
        <v>0</v>
      </c>
      <c r="D23" s="228">
        <v>0</v>
      </c>
      <c r="E23" s="5">
        <f t="shared" si="2"/>
        <v>0</v>
      </c>
      <c r="F23" s="182" t="s">
        <v>698</v>
      </c>
      <c r="G23" s="78">
        <v>0</v>
      </c>
      <c r="H23" s="266">
        <v>0</v>
      </c>
      <c r="I23" s="230">
        <v>0</v>
      </c>
      <c r="J23" s="63">
        <f t="shared" si="3"/>
        <v>0</v>
      </c>
      <c r="K23" s="480"/>
      <c r="L23" s="484"/>
      <c r="M23" s="485"/>
      <c r="N23" s="486"/>
      <c r="O23" s="460"/>
      <c r="P23" s="461"/>
      <c r="Q23" s="462"/>
      <c r="R23" s="460"/>
      <c r="S23" s="461"/>
      <c r="T23" s="462"/>
      <c r="U23" s="460"/>
      <c r="V23" s="461"/>
      <c r="W23" s="462"/>
      <c r="AC23" s="460"/>
      <c r="AD23" s="461"/>
      <c r="AE23" s="462"/>
      <c r="AF23" s="460"/>
      <c r="AG23" s="461"/>
      <c r="AH23" s="462"/>
      <c r="AI23" s="460"/>
      <c r="AJ23" s="461"/>
      <c r="AK23" s="462"/>
      <c r="AL23" s="460"/>
      <c r="AM23" s="461"/>
      <c r="AN23" s="462"/>
      <c r="AO23" s="460"/>
      <c r="AP23" s="461"/>
      <c r="AQ23" s="462"/>
      <c r="AR23" s="460"/>
      <c r="AS23" s="461"/>
      <c r="AT23" s="462"/>
      <c r="AU23" s="460"/>
      <c r="AV23" s="461"/>
      <c r="AW23" s="462"/>
    </row>
    <row r="24" spans="1:55" ht="14.95" customHeight="1" thickBot="1" x14ac:dyDescent="0.3">
      <c r="A24" s="179" t="s">
        <v>699</v>
      </c>
      <c r="B24" s="77">
        <v>0</v>
      </c>
      <c r="C24" s="282">
        <v>0</v>
      </c>
      <c r="D24" s="228">
        <v>0</v>
      </c>
      <c r="E24" s="5">
        <f t="shared" si="2"/>
        <v>0</v>
      </c>
      <c r="F24" s="182" t="s">
        <v>699</v>
      </c>
      <c r="G24" s="78">
        <v>0</v>
      </c>
      <c r="H24" s="266">
        <v>0</v>
      </c>
      <c r="I24" s="230">
        <v>0</v>
      </c>
      <c r="J24" s="63">
        <f t="shared" si="3"/>
        <v>0</v>
      </c>
      <c r="K24" s="366" t="s">
        <v>21</v>
      </c>
      <c r="L24" s="3" t="s">
        <v>46</v>
      </c>
      <c r="M24" s="3" t="s">
        <v>9</v>
      </c>
      <c r="N24" s="3" t="s">
        <v>10</v>
      </c>
      <c r="O24" s="7" t="s">
        <v>46</v>
      </c>
      <c r="P24" s="7" t="s">
        <v>9</v>
      </c>
      <c r="Q24" s="7" t="s">
        <v>10</v>
      </c>
      <c r="R24" s="79" t="s">
        <v>46</v>
      </c>
      <c r="S24" s="79" t="s">
        <v>9</v>
      </c>
      <c r="T24" s="79" t="s">
        <v>10</v>
      </c>
      <c r="U24" s="79" t="s">
        <v>46</v>
      </c>
      <c r="V24" s="79" t="s">
        <v>9</v>
      </c>
      <c r="W24" s="79" t="s">
        <v>10</v>
      </c>
      <c r="AC24" s="84" t="s">
        <v>46</v>
      </c>
      <c r="AD24" s="79" t="s">
        <v>9</v>
      </c>
      <c r="AE24" s="79" t="s">
        <v>10</v>
      </c>
      <c r="AF24" s="148" t="s">
        <v>46</v>
      </c>
      <c r="AG24" s="7" t="s">
        <v>9</v>
      </c>
      <c r="AH24" s="7" t="s">
        <v>10</v>
      </c>
      <c r="AI24" s="148" t="s">
        <v>46</v>
      </c>
      <c r="AJ24" s="7" t="s">
        <v>9</v>
      </c>
      <c r="AK24" s="7" t="s">
        <v>10</v>
      </c>
      <c r="AL24" s="148" t="s">
        <v>46</v>
      </c>
      <c r="AM24" s="7" t="s">
        <v>9</v>
      </c>
      <c r="AN24" s="7" t="s">
        <v>10</v>
      </c>
      <c r="AO24" s="148" t="s">
        <v>46</v>
      </c>
      <c r="AP24" s="7" t="s">
        <v>9</v>
      </c>
      <c r="AQ24" s="7" t="s">
        <v>10</v>
      </c>
      <c r="AR24" s="148" t="s">
        <v>46</v>
      </c>
      <c r="AS24" s="7" t="s">
        <v>9</v>
      </c>
      <c r="AT24" s="7" t="s">
        <v>10</v>
      </c>
      <c r="AU24" s="148" t="s">
        <v>46</v>
      </c>
      <c r="AV24" s="7" t="s">
        <v>9</v>
      </c>
      <c r="AW24" s="7" t="s">
        <v>10</v>
      </c>
    </row>
    <row r="25" spans="1:55" ht="14.95" customHeight="1" thickBot="1" x14ac:dyDescent="0.3">
      <c r="A25" s="179" t="s">
        <v>714</v>
      </c>
      <c r="B25" s="77">
        <v>2</v>
      </c>
      <c r="C25" s="282">
        <v>1</v>
      </c>
      <c r="D25" s="228">
        <v>1</v>
      </c>
      <c r="E25" s="5">
        <f t="shared" si="2"/>
        <v>4</v>
      </c>
      <c r="F25" s="182" t="s">
        <v>714</v>
      </c>
      <c r="G25" s="78">
        <v>10</v>
      </c>
      <c r="H25" s="266">
        <v>5</v>
      </c>
      <c r="I25" s="230">
        <v>5</v>
      </c>
      <c r="J25" s="63">
        <f t="shared" si="3"/>
        <v>20</v>
      </c>
      <c r="K25" s="179" t="s">
        <v>255</v>
      </c>
      <c r="L25" s="5">
        <v>7</v>
      </c>
      <c r="M25" s="5">
        <v>11</v>
      </c>
      <c r="N25" s="183">
        <f t="shared" ref="N25" si="11">SUM(L25/M25)*100</f>
        <v>63.636363636363633</v>
      </c>
      <c r="O25" s="7">
        <v>32</v>
      </c>
      <c r="P25" s="7">
        <v>41</v>
      </c>
      <c r="Q25" s="153">
        <f t="shared" ref="Q25" si="12">SUM(O25/P25)*100</f>
        <v>78.048780487804876</v>
      </c>
      <c r="R25" s="7">
        <v>10</v>
      </c>
      <c r="S25" s="7">
        <v>13</v>
      </c>
      <c r="T25" s="7">
        <v>71</v>
      </c>
      <c r="U25" s="7" t="s">
        <v>15</v>
      </c>
      <c r="V25" s="7" t="s">
        <v>15</v>
      </c>
      <c r="W25" s="7" t="s">
        <v>15</v>
      </c>
      <c r="AC25" s="148" t="s">
        <v>15</v>
      </c>
      <c r="AD25" s="7" t="s">
        <v>15</v>
      </c>
      <c r="AE25" s="7" t="s">
        <v>15</v>
      </c>
      <c r="AF25" s="148">
        <v>12</v>
      </c>
      <c r="AG25" s="7">
        <v>15</v>
      </c>
      <c r="AH25" s="153">
        <f>SUM(AF25/AG25)*100</f>
        <v>80</v>
      </c>
      <c r="AI25" s="148" t="s">
        <v>15</v>
      </c>
      <c r="AJ25" s="7" t="s">
        <v>15</v>
      </c>
      <c r="AK25" s="7" t="s">
        <v>15</v>
      </c>
      <c r="AL25" s="7">
        <v>3</v>
      </c>
      <c r="AM25" s="7">
        <v>4</v>
      </c>
      <c r="AN25" s="153">
        <f>SUM(AL25/AM25)*100</f>
        <v>75</v>
      </c>
      <c r="AO25" s="7" t="s">
        <v>15</v>
      </c>
      <c r="AP25" s="7" t="s">
        <v>15</v>
      </c>
      <c r="AQ25" s="7" t="s">
        <v>15</v>
      </c>
      <c r="AR25" s="148" t="s">
        <v>15</v>
      </c>
      <c r="AS25" s="7" t="s">
        <v>15</v>
      </c>
      <c r="AT25" s="7" t="s">
        <v>15</v>
      </c>
      <c r="AU25" s="7" t="s">
        <v>15</v>
      </c>
      <c r="AV25" s="7" t="s">
        <v>15</v>
      </c>
      <c r="AW25" s="7" t="s">
        <v>15</v>
      </c>
    </row>
    <row r="26" spans="1:55" ht="14.95" customHeight="1" thickBot="1" x14ac:dyDescent="0.3">
      <c r="A26" s="179" t="s">
        <v>927</v>
      </c>
      <c r="B26" s="77">
        <v>0</v>
      </c>
      <c r="C26" s="282">
        <v>0</v>
      </c>
      <c r="D26" s="228">
        <v>1</v>
      </c>
      <c r="E26" s="5">
        <f t="shared" si="2"/>
        <v>1</v>
      </c>
      <c r="F26" s="182" t="s">
        <v>927</v>
      </c>
      <c r="G26" s="78">
        <v>0</v>
      </c>
      <c r="H26" s="266">
        <v>0</v>
      </c>
      <c r="I26" s="230">
        <v>5</v>
      </c>
      <c r="J26" s="63">
        <f t="shared" si="3"/>
        <v>5</v>
      </c>
      <c r="K26" s="471" t="s">
        <v>1020</v>
      </c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</row>
    <row r="27" spans="1:55" ht="14.95" customHeight="1" thickBot="1" x14ac:dyDescent="0.3">
      <c r="A27" s="179" t="s">
        <v>273</v>
      </c>
      <c r="B27" s="77">
        <v>0</v>
      </c>
      <c r="C27" s="282">
        <v>0</v>
      </c>
      <c r="D27" s="228">
        <v>0</v>
      </c>
      <c r="E27" s="5">
        <f t="shared" si="2"/>
        <v>0</v>
      </c>
      <c r="F27" s="182" t="s">
        <v>273</v>
      </c>
      <c r="G27" s="78">
        <v>0</v>
      </c>
      <c r="H27" s="266">
        <v>0</v>
      </c>
      <c r="I27" s="230">
        <v>0</v>
      </c>
      <c r="J27" s="63">
        <f t="shared" si="3"/>
        <v>0</v>
      </c>
      <c r="K27" s="47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</row>
    <row r="28" spans="1:55" ht="14.95" customHeight="1" thickBot="1" x14ac:dyDescent="0.3">
      <c r="A28" s="179" t="s">
        <v>700</v>
      </c>
      <c r="B28" s="77">
        <v>3</v>
      </c>
      <c r="C28" s="282">
        <v>0</v>
      </c>
      <c r="D28" s="228">
        <v>0</v>
      </c>
      <c r="E28" s="5">
        <f t="shared" si="2"/>
        <v>3</v>
      </c>
      <c r="F28" s="182" t="s">
        <v>700</v>
      </c>
      <c r="G28" s="78">
        <v>15</v>
      </c>
      <c r="H28" s="266">
        <v>0</v>
      </c>
      <c r="I28" s="230">
        <v>0</v>
      </c>
      <c r="J28" s="63">
        <f t="shared" si="3"/>
        <v>15</v>
      </c>
    </row>
    <row r="29" spans="1:55" ht="14.95" customHeight="1" thickBot="1" x14ac:dyDescent="0.3">
      <c r="A29" s="179" t="s">
        <v>491</v>
      </c>
      <c r="B29" s="77">
        <v>0</v>
      </c>
      <c r="C29" s="282">
        <v>0</v>
      </c>
      <c r="D29" s="228">
        <v>1</v>
      </c>
      <c r="E29" s="5">
        <f t="shared" si="2"/>
        <v>1</v>
      </c>
      <c r="F29" s="182" t="s">
        <v>491</v>
      </c>
      <c r="G29" s="78">
        <v>0</v>
      </c>
      <c r="H29" s="266">
        <v>0</v>
      </c>
      <c r="I29" s="230">
        <v>5</v>
      </c>
      <c r="J29" s="63">
        <f t="shared" si="3"/>
        <v>5</v>
      </c>
    </row>
    <row r="30" spans="1:55" ht="14.95" customHeight="1" thickBot="1" x14ac:dyDescent="0.3">
      <c r="A30" s="179" t="s">
        <v>1042</v>
      </c>
      <c r="B30" s="77">
        <v>2</v>
      </c>
      <c r="C30" s="282">
        <v>0</v>
      </c>
      <c r="D30" s="228">
        <v>0</v>
      </c>
      <c r="E30" s="5">
        <f t="shared" si="2"/>
        <v>2</v>
      </c>
      <c r="F30" s="182" t="s">
        <v>1042</v>
      </c>
      <c r="G30" s="78">
        <v>10</v>
      </c>
      <c r="H30" s="266">
        <v>0</v>
      </c>
      <c r="I30" s="230">
        <v>0</v>
      </c>
      <c r="J30" s="63">
        <f t="shared" si="3"/>
        <v>10</v>
      </c>
    </row>
    <row r="31" spans="1:55" ht="14.95" customHeight="1" thickBot="1" x14ac:dyDescent="0.3">
      <c r="A31" s="179" t="s">
        <v>566</v>
      </c>
      <c r="B31" s="77">
        <v>2</v>
      </c>
      <c r="C31" s="282">
        <v>1</v>
      </c>
      <c r="D31" s="228">
        <v>1</v>
      </c>
      <c r="E31" s="5">
        <f t="shared" si="2"/>
        <v>4</v>
      </c>
      <c r="F31" s="182" t="s">
        <v>566</v>
      </c>
      <c r="G31" s="78">
        <v>10</v>
      </c>
      <c r="H31" s="266">
        <v>5</v>
      </c>
      <c r="I31" s="230">
        <v>5</v>
      </c>
      <c r="J31" s="63">
        <f t="shared" si="3"/>
        <v>20</v>
      </c>
    </row>
    <row r="32" spans="1:55" ht="14.95" customHeight="1" thickBot="1" x14ac:dyDescent="0.3">
      <c r="A32" s="179" t="s">
        <v>27</v>
      </c>
      <c r="B32" s="77">
        <v>2</v>
      </c>
      <c r="C32" s="282">
        <v>1</v>
      </c>
      <c r="D32" s="228">
        <v>1</v>
      </c>
      <c r="E32" s="5">
        <f t="shared" ref="E32:E34" si="13">SUM(B32:D32)</f>
        <v>4</v>
      </c>
      <c r="F32" s="182" t="s">
        <v>27</v>
      </c>
      <c r="G32" s="78">
        <v>10</v>
      </c>
      <c r="H32" s="266">
        <v>5</v>
      </c>
      <c r="I32" s="230">
        <v>5</v>
      </c>
      <c r="J32" s="63">
        <f t="shared" ref="J32:J34" si="14">SUM(G32:I32)</f>
        <v>20</v>
      </c>
    </row>
    <row r="33" spans="1:10" ht="14.95" customHeight="1" thickBot="1" x14ac:dyDescent="0.3">
      <c r="A33" s="179" t="s">
        <v>1067</v>
      </c>
      <c r="B33" s="77">
        <v>0</v>
      </c>
      <c r="C33" s="282">
        <v>0</v>
      </c>
      <c r="D33" s="228">
        <v>3</v>
      </c>
      <c r="E33" s="5">
        <f t="shared" si="13"/>
        <v>3</v>
      </c>
      <c r="F33" s="182" t="s">
        <v>1067</v>
      </c>
      <c r="G33" s="78">
        <v>0</v>
      </c>
      <c r="H33" s="266">
        <v>0</v>
      </c>
      <c r="I33" s="230">
        <v>15</v>
      </c>
      <c r="J33" s="63">
        <f t="shared" si="14"/>
        <v>15</v>
      </c>
    </row>
    <row r="34" spans="1:10" ht="14.95" customHeight="1" thickBot="1" x14ac:dyDescent="0.3">
      <c r="A34" s="179" t="s">
        <v>722</v>
      </c>
      <c r="B34" s="77">
        <v>0</v>
      </c>
      <c r="C34" s="282">
        <v>0</v>
      </c>
      <c r="D34" s="228">
        <v>0</v>
      </c>
      <c r="E34" s="5">
        <f t="shared" si="13"/>
        <v>0</v>
      </c>
      <c r="F34" s="182" t="s">
        <v>722</v>
      </c>
      <c r="G34" s="78">
        <v>0</v>
      </c>
      <c r="H34" s="266">
        <v>0</v>
      </c>
      <c r="I34" s="230">
        <v>0</v>
      </c>
      <c r="J34" s="63">
        <f t="shared" si="14"/>
        <v>0</v>
      </c>
    </row>
    <row r="35" spans="1:10" ht="14.95" customHeight="1" thickBot="1" x14ac:dyDescent="0.3">
      <c r="A35" s="179" t="s">
        <v>705</v>
      </c>
      <c r="B35" s="77">
        <v>0</v>
      </c>
      <c r="C35" s="282">
        <v>0</v>
      </c>
      <c r="D35" s="228">
        <v>0</v>
      </c>
      <c r="E35" s="5">
        <f t="shared" si="2"/>
        <v>0</v>
      </c>
      <c r="F35" s="182" t="s">
        <v>705</v>
      </c>
      <c r="G35" s="78">
        <v>0</v>
      </c>
      <c r="H35" s="266">
        <v>0</v>
      </c>
      <c r="I35" s="230">
        <v>0</v>
      </c>
      <c r="J35" s="63">
        <f t="shared" si="3"/>
        <v>0</v>
      </c>
    </row>
    <row r="36" spans="1:10" ht="14.95" customHeight="1" thickBot="1" x14ac:dyDescent="0.3">
      <c r="A36" s="179" t="s">
        <v>332</v>
      </c>
      <c r="B36" s="77">
        <v>1</v>
      </c>
      <c r="C36" s="282">
        <v>1</v>
      </c>
      <c r="D36" s="228">
        <v>0</v>
      </c>
      <c r="E36" s="5">
        <f t="shared" si="2"/>
        <v>2</v>
      </c>
      <c r="F36" s="182" t="s">
        <v>332</v>
      </c>
      <c r="G36" s="78">
        <v>5</v>
      </c>
      <c r="H36" s="266">
        <v>5</v>
      </c>
      <c r="I36" s="230">
        <v>0</v>
      </c>
      <c r="J36" s="63">
        <f t="shared" si="3"/>
        <v>10</v>
      </c>
    </row>
    <row r="37" spans="1:10" ht="14.95" customHeight="1" thickBot="1" x14ac:dyDescent="0.3">
      <c r="A37" s="179" t="s">
        <v>1090</v>
      </c>
      <c r="B37" s="77">
        <v>0</v>
      </c>
      <c r="C37" s="282">
        <v>1</v>
      </c>
      <c r="D37" s="228">
        <v>0</v>
      </c>
      <c r="E37" s="5">
        <f t="shared" si="2"/>
        <v>1</v>
      </c>
      <c r="F37" s="182" t="s">
        <v>1090</v>
      </c>
      <c r="G37" s="78">
        <v>0</v>
      </c>
      <c r="H37" s="266">
        <v>5</v>
      </c>
      <c r="I37" s="230">
        <v>0</v>
      </c>
      <c r="J37" s="63">
        <f t="shared" si="3"/>
        <v>5</v>
      </c>
    </row>
    <row r="38" spans="1:10" ht="14.95" customHeight="1" thickBot="1" x14ac:dyDescent="0.3">
      <c r="A38" s="179" t="s">
        <v>570</v>
      </c>
      <c r="B38" s="77">
        <v>0</v>
      </c>
      <c r="C38" s="282">
        <v>0</v>
      </c>
      <c r="D38" s="228">
        <v>0</v>
      </c>
      <c r="E38" s="5">
        <f t="shared" si="2"/>
        <v>0</v>
      </c>
      <c r="F38" s="182" t="s">
        <v>570</v>
      </c>
      <c r="G38" s="78">
        <v>0</v>
      </c>
      <c r="H38" s="266">
        <v>0</v>
      </c>
      <c r="I38" s="230">
        <v>0</v>
      </c>
      <c r="J38" s="63">
        <f t="shared" si="3"/>
        <v>0</v>
      </c>
    </row>
    <row r="39" spans="1:10" ht="14.95" customHeight="1" thickBot="1" x14ac:dyDescent="0.3">
      <c r="A39" s="179" t="s">
        <v>707</v>
      </c>
      <c r="B39" s="77">
        <v>1</v>
      </c>
      <c r="C39" s="282">
        <v>0</v>
      </c>
      <c r="D39" s="228">
        <v>0</v>
      </c>
      <c r="E39" s="5">
        <f t="shared" si="2"/>
        <v>1</v>
      </c>
      <c r="F39" s="182" t="s">
        <v>707</v>
      </c>
      <c r="G39" s="78">
        <v>5</v>
      </c>
      <c r="H39" s="266">
        <v>0</v>
      </c>
      <c r="I39" s="230">
        <v>0</v>
      </c>
      <c r="J39" s="63">
        <f t="shared" si="3"/>
        <v>5</v>
      </c>
    </row>
    <row r="40" spans="1:10" ht="14.95" customHeight="1" thickBot="1" x14ac:dyDescent="0.3">
      <c r="A40" s="179" t="s">
        <v>878</v>
      </c>
      <c r="B40" s="77">
        <v>0</v>
      </c>
      <c r="C40" s="282">
        <v>0</v>
      </c>
      <c r="D40" s="228">
        <v>0</v>
      </c>
      <c r="E40" s="5">
        <f t="shared" si="2"/>
        <v>0</v>
      </c>
      <c r="F40" s="182" t="s">
        <v>878</v>
      </c>
      <c r="G40" s="78">
        <v>0</v>
      </c>
      <c r="H40" s="266">
        <v>0</v>
      </c>
      <c r="I40" s="230">
        <v>0</v>
      </c>
      <c r="J40" s="63">
        <f t="shared" si="3"/>
        <v>0</v>
      </c>
    </row>
    <row r="41" spans="1:10" ht="14.95" customHeight="1" thickBot="1" x14ac:dyDescent="0.3">
      <c r="A41" s="179" t="s">
        <v>4</v>
      </c>
      <c r="B41" s="77">
        <v>0</v>
      </c>
      <c r="C41" s="282">
        <v>0</v>
      </c>
      <c r="D41" s="228">
        <v>0</v>
      </c>
      <c r="E41" s="5">
        <f t="shared" si="2"/>
        <v>0</v>
      </c>
      <c r="F41" s="182" t="s">
        <v>4</v>
      </c>
      <c r="G41" s="78">
        <v>0</v>
      </c>
      <c r="H41" s="266">
        <v>0</v>
      </c>
      <c r="I41" s="230">
        <v>0</v>
      </c>
      <c r="J41" s="63">
        <f t="shared" si="3"/>
        <v>0</v>
      </c>
    </row>
    <row r="42" spans="1:10" ht="14.95" customHeight="1" thickBot="1" x14ac:dyDescent="0.3">
      <c r="A42" s="179" t="s">
        <v>224</v>
      </c>
      <c r="B42" s="77">
        <v>0</v>
      </c>
      <c r="C42" s="282">
        <v>0</v>
      </c>
      <c r="D42" s="228">
        <v>0</v>
      </c>
      <c r="E42" s="5">
        <f t="shared" si="2"/>
        <v>0</v>
      </c>
      <c r="F42" s="182" t="s">
        <v>224</v>
      </c>
      <c r="G42" s="78">
        <v>0</v>
      </c>
      <c r="H42" s="266">
        <v>0</v>
      </c>
      <c r="I42" s="230">
        <v>0</v>
      </c>
      <c r="J42" s="63">
        <f t="shared" si="3"/>
        <v>0</v>
      </c>
    </row>
    <row r="43" spans="1:10" ht="14.95" customHeight="1" thickBot="1" x14ac:dyDescent="0.3">
      <c r="A43" s="179" t="s">
        <v>22</v>
      </c>
      <c r="B43" s="77">
        <v>0</v>
      </c>
      <c r="C43" s="282">
        <v>0</v>
      </c>
      <c r="D43" s="228">
        <v>0</v>
      </c>
      <c r="E43" s="5">
        <f t="shared" si="2"/>
        <v>0</v>
      </c>
      <c r="F43" s="182" t="s">
        <v>22</v>
      </c>
      <c r="G43" s="78">
        <v>0</v>
      </c>
      <c r="H43" s="266">
        <v>0</v>
      </c>
      <c r="I43" s="230">
        <v>0</v>
      </c>
      <c r="J43" s="63">
        <f t="shared" si="3"/>
        <v>0</v>
      </c>
    </row>
    <row r="44" spans="1:10" ht="14.95" customHeight="1" thickBot="1" x14ac:dyDescent="0.3">
      <c r="A44" s="179" t="s">
        <v>522</v>
      </c>
      <c r="B44" s="77">
        <v>3</v>
      </c>
      <c r="C44" s="282">
        <v>1</v>
      </c>
      <c r="D44" s="228">
        <v>1</v>
      </c>
      <c r="E44" s="5">
        <f t="shared" si="2"/>
        <v>5</v>
      </c>
      <c r="F44" s="182" t="s">
        <v>522</v>
      </c>
      <c r="G44" s="78">
        <v>15</v>
      </c>
      <c r="H44" s="266">
        <v>5</v>
      </c>
      <c r="I44" s="230">
        <v>5</v>
      </c>
      <c r="J44" s="63">
        <f t="shared" si="3"/>
        <v>25</v>
      </c>
    </row>
    <row r="45" spans="1:10" ht="14.95" customHeight="1" thickBot="1" x14ac:dyDescent="0.3">
      <c r="A45" s="179" t="s">
        <v>68</v>
      </c>
      <c r="B45" s="77">
        <v>0</v>
      </c>
      <c r="C45" s="282">
        <v>0</v>
      </c>
      <c r="D45" s="228">
        <v>0</v>
      </c>
      <c r="E45" s="5">
        <f t="shared" si="2"/>
        <v>0</v>
      </c>
      <c r="F45" s="182" t="s">
        <v>68</v>
      </c>
      <c r="G45" s="78">
        <v>0</v>
      </c>
      <c r="H45" s="266">
        <v>0</v>
      </c>
      <c r="I45" s="230">
        <v>0</v>
      </c>
      <c r="J45" s="63">
        <f t="shared" si="3"/>
        <v>0</v>
      </c>
    </row>
    <row r="46" spans="1:10" ht="14.95" thickBot="1" x14ac:dyDescent="0.3">
      <c r="A46" s="179" t="s">
        <v>404</v>
      </c>
      <c r="B46" s="77">
        <v>0</v>
      </c>
      <c r="C46" s="282">
        <v>0</v>
      </c>
      <c r="D46" s="228">
        <v>0</v>
      </c>
      <c r="E46" s="5">
        <f t="shared" si="2"/>
        <v>0</v>
      </c>
      <c r="F46" s="182" t="s">
        <v>404</v>
      </c>
      <c r="G46" s="78">
        <v>0</v>
      </c>
      <c r="H46" s="266">
        <v>0</v>
      </c>
      <c r="I46" s="230">
        <v>0</v>
      </c>
      <c r="J46" s="63">
        <f t="shared" si="3"/>
        <v>0</v>
      </c>
    </row>
    <row r="47" spans="1:10" ht="14.95" thickBot="1" x14ac:dyDescent="0.3">
      <c r="A47" s="179" t="s">
        <v>711</v>
      </c>
      <c r="B47" s="77">
        <v>0</v>
      </c>
      <c r="C47" s="282">
        <v>0</v>
      </c>
      <c r="D47" s="228">
        <v>0</v>
      </c>
      <c r="E47" s="5">
        <f t="shared" ref="E47" si="15">SUM(B47:D47)</f>
        <v>0</v>
      </c>
      <c r="F47" s="182" t="s">
        <v>711</v>
      </c>
      <c r="G47" s="78">
        <v>0</v>
      </c>
      <c r="H47" s="266">
        <v>0</v>
      </c>
      <c r="I47" s="230">
        <v>0</v>
      </c>
      <c r="J47" s="63">
        <f t="shared" ref="J47" si="16">SUM(G47:I47)</f>
        <v>0</v>
      </c>
    </row>
    <row r="48" spans="1:10" ht="14.95" customHeight="1" thickBot="1" x14ac:dyDescent="0.3">
      <c r="A48" s="179" t="s">
        <v>258</v>
      </c>
      <c r="B48" s="77">
        <v>0</v>
      </c>
      <c r="C48" s="282">
        <v>0</v>
      </c>
      <c r="D48" s="228">
        <v>0</v>
      </c>
      <c r="E48" s="5">
        <f t="shared" si="2"/>
        <v>0</v>
      </c>
      <c r="F48" s="182" t="s">
        <v>258</v>
      </c>
      <c r="G48" s="78">
        <v>0</v>
      </c>
      <c r="H48" s="266">
        <v>0</v>
      </c>
      <c r="I48" s="230">
        <v>0</v>
      </c>
      <c r="J48" s="63">
        <f t="shared" si="3"/>
        <v>0</v>
      </c>
    </row>
    <row r="49" spans="1:10" ht="14.95" customHeight="1" thickBot="1" x14ac:dyDescent="0.3">
      <c r="A49" s="179" t="s">
        <v>664</v>
      </c>
      <c r="B49" s="77">
        <v>0</v>
      </c>
      <c r="C49" s="282">
        <v>2</v>
      </c>
      <c r="D49" s="228">
        <v>0</v>
      </c>
      <c r="E49" s="5">
        <f t="shared" si="2"/>
        <v>2</v>
      </c>
      <c r="F49" s="182" t="s">
        <v>664</v>
      </c>
      <c r="G49" s="78">
        <v>0</v>
      </c>
      <c r="H49" s="266">
        <v>10</v>
      </c>
      <c r="I49" s="230">
        <v>0</v>
      </c>
      <c r="J49" s="63">
        <f t="shared" si="3"/>
        <v>10</v>
      </c>
    </row>
    <row r="50" spans="1:10" ht="14.95" thickBot="1" x14ac:dyDescent="0.3">
      <c r="A50" s="179" t="s">
        <v>3</v>
      </c>
      <c r="B50" s="77">
        <f>SUM(B3:B49)</f>
        <v>21</v>
      </c>
      <c r="C50" s="282">
        <f>SUM(C3:C49)</f>
        <v>11</v>
      </c>
      <c r="D50" s="228">
        <f>SUM(D3:D49)</f>
        <v>10</v>
      </c>
      <c r="E50" s="5">
        <f>SUM(E3:E49)</f>
        <v>42</v>
      </c>
      <c r="F50" s="181" t="s">
        <v>3</v>
      </c>
      <c r="G50" s="78">
        <f>SUM(G3:G49)</f>
        <v>153</v>
      </c>
      <c r="H50" s="266">
        <f>SUM(H3:H49)</f>
        <v>75</v>
      </c>
      <c r="I50" s="230">
        <f>SUM(I3:I49)</f>
        <v>65</v>
      </c>
      <c r="J50" s="63">
        <f>SUM(J3:J49)</f>
        <v>293</v>
      </c>
    </row>
    <row r="51" spans="1:10" x14ac:dyDescent="0.25">
      <c r="A51" s="477"/>
      <c r="B51" s="478"/>
      <c r="C51" s="478"/>
      <c r="D51" s="478"/>
      <c r="E51" s="478"/>
      <c r="F51" s="478"/>
      <c r="G51" s="478"/>
      <c r="H51" s="478"/>
      <c r="I51" s="36"/>
      <c r="J51" s="34"/>
    </row>
    <row r="52" spans="1:10" ht="14.95" thickBot="1" x14ac:dyDescent="0.3">
      <c r="A52" s="70" t="s">
        <v>12</v>
      </c>
      <c r="B52" s="133"/>
      <c r="C52" s="71"/>
      <c r="D52" s="71"/>
      <c r="E52" s="62"/>
      <c r="F52" s="36"/>
      <c r="G52" s="133"/>
      <c r="H52" s="104"/>
      <c r="I52" s="36"/>
      <c r="J52" s="36"/>
    </row>
    <row r="53" spans="1:10" ht="14.95" thickBot="1" x14ac:dyDescent="0.3">
      <c r="A53" s="178" t="s">
        <v>0</v>
      </c>
      <c r="B53" s="114" t="s">
        <v>226</v>
      </c>
      <c r="C53" s="281" t="s">
        <v>31</v>
      </c>
      <c r="D53" s="227" t="s">
        <v>339</v>
      </c>
      <c r="E53" s="107" t="s">
        <v>1</v>
      </c>
      <c r="F53" s="180" t="s">
        <v>2</v>
      </c>
      <c r="G53" s="109" t="s">
        <v>226</v>
      </c>
      <c r="H53" s="265" t="s">
        <v>31</v>
      </c>
      <c r="I53" s="229" t="s">
        <v>339</v>
      </c>
      <c r="J53" s="110" t="s">
        <v>1</v>
      </c>
    </row>
    <row r="54" spans="1:10" ht="14.95" thickBot="1" x14ac:dyDescent="0.3">
      <c r="A54" s="179" t="s">
        <v>522</v>
      </c>
      <c r="B54" s="77">
        <v>3</v>
      </c>
      <c r="C54" s="282">
        <v>1</v>
      </c>
      <c r="D54" s="228">
        <v>1</v>
      </c>
      <c r="E54" s="5">
        <f t="shared" ref="E54:E100" si="17">SUM(B54:D54)</f>
        <v>5</v>
      </c>
      <c r="F54" s="182" t="s">
        <v>255</v>
      </c>
      <c r="G54" s="78">
        <v>48</v>
      </c>
      <c r="H54" s="266">
        <v>10</v>
      </c>
      <c r="I54" s="230">
        <v>15</v>
      </c>
      <c r="J54" s="63">
        <f t="shared" ref="J54:J100" si="18">SUM(G54:I54)</f>
        <v>73</v>
      </c>
    </row>
    <row r="55" spans="1:10" ht="14.95" thickBot="1" x14ac:dyDescent="0.3">
      <c r="A55" s="179" t="s">
        <v>714</v>
      </c>
      <c r="B55" s="77">
        <v>2</v>
      </c>
      <c r="C55" s="282">
        <v>1</v>
      </c>
      <c r="D55" s="228">
        <v>1</v>
      </c>
      <c r="E55" s="5">
        <f t="shared" si="17"/>
        <v>4</v>
      </c>
      <c r="F55" s="182" t="s">
        <v>522</v>
      </c>
      <c r="G55" s="78">
        <v>15</v>
      </c>
      <c r="H55" s="266">
        <v>5</v>
      </c>
      <c r="I55" s="230">
        <v>5</v>
      </c>
      <c r="J55" s="63">
        <f t="shared" si="18"/>
        <v>25</v>
      </c>
    </row>
    <row r="56" spans="1:10" ht="14.95" thickBot="1" x14ac:dyDescent="0.3">
      <c r="A56" s="179" t="s">
        <v>566</v>
      </c>
      <c r="B56" s="77">
        <v>2</v>
      </c>
      <c r="C56" s="282">
        <v>1</v>
      </c>
      <c r="D56" s="228">
        <v>1</v>
      </c>
      <c r="E56" s="5">
        <f t="shared" si="17"/>
        <v>4</v>
      </c>
      <c r="F56" s="182" t="s">
        <v>714</v>
      </c>
      <c r="G56" s="78">
        <v>10</v>
      </c>
      <c r="H56" s="266">
        <v>5</v>
      </c>
      <c r="I56" s="230">
        <v>5</v>
      </c>
      <c r="J56" s="63">
        <f t="shared" si="18"/>
        <v>20</v>
      </c>
    </row>
    <row r="57" spans="1:10" ht="14.95" thickBot="1" x14ac:dyDescent="0.3">
      <c r="A57" s="179" t="s">
        <v>27</v>
      </c>
      <c r="B57" s="77">
        <v>2</v>
      </c>
      <c r="C57" s="282">
        <v>1</v>
      </c>
      <c r="D57" s="228">
        <v>1</v>
      </c>
      <c r="E57" s="5">
        <f t="shared" si="17"/>
        <v>4</v>
      </c>
      <c r="F57" s="182" t="s">
        <v>566</v>
      </c>
      <c r="G57" s="78">
        <v>10</v>
      </c>
      <c r="H57" s="266">
        <v>5</v>
      </c>
      <c r="I57" s="230">
        <v>5</v>
      </c>
      <c r="J57" s="63">
        <f t="shared" si="18"/>
        <v>20</v>
      </c>
    </row>
    <row r="58" spans="1:10" ht="14.95" thickBot="1" x14ac:dyDescent="0.3">
      <c r="A58" s="179" t="s">
        <v>700</v>
      </c>
      <c r="B58" s="77">
        <v>3</v>
      </c>
      <c r="C58" s="282">
        <v>0</v>
      </c>
      <c r="D58" s="228">
        <v>0</v>
      </c>
      <c r="E58" s="5">
        <f t="shared" si="17"/>
        <v>3</v>
      </c>
      <c r="F58" s="182" t="s">
        <v>27</v>
      </c>
      <c r="G58" s="78">
        <v>10</v>
      </c>
      <c r="H58" s="266">
        <v>5</v>
      </c>
      <c r="I58" s="230">
        <v>5</v>
      </c>
      <c r="J58" s="63">
        <f t="shared" si="18"/>
        <v>20</v>
      </c>
    </row>
    <row r="59" spans="1:10" ht="14.95" thickBot="1" x14ac:dyDescent="0.3">
      <c r="A59" s="179" t="s">
        <v>1067</v>
      </c>
      <c r="B59" s="77">
        <v>0</v>
      </c>
      <c r="C59" s="282">
        <v>0</v>
      </c>
      <c r="D59" s="228">
        <v>3</v>
      </c>
      <c r="E59" s="5">
        <f t="shared" si="17"/>
        <v>3</v>
      </c>
      <c r="F59" s="182" t="s">
        <v>700</v>
      </c>
      <c r="G59" s="78">
        <v>15</v>
      </c>
      <c r="H59" s="266">
        <v>0</v>
      </c>
      <c r="I59" s="230">
        <v>0</v>
      </c>
      <c r="J59" s="63">
        <f t="shared" si="18"/>
        <v>15</v>
      </c>
    </row>
    <row r="60" spans="1:10" ht="14.95" thickBot="1" x14ac:dyDescent="0.3">
      <c r="A60" s="179" t="s">
        <v>1094</v>
      </c>
      <c r="B60" s="77">
        <v>1</v>
      </c>
      <c r="C60" s="282">
        <v>1</v>
      </c>
      <c r="D60" s="228">
        <v>0</v>
      </c>
      <c r="E60" s="5">
        <f t="shared" si="17"/>
        <v>2</v>
      </c>
      <c r="F60" s="182" t="s">
        <v>1067</v>
      </c>
      <c r="G60" s="78">
        <v>0</v>
      </c>
      <c r="H60" s="266">
        <v>0</v>
      </c>
      <c r="I60" s="230">
        <v>15</v>
      </c>
      <c r="J60" s="63">
        <f t="shared" si="18"/>
        <v>15</v>
      </c>
    </row>
    <row r="61" spans="1:10" ht="14.95" thickBot="1" x14ac:dyDescent="0.3">
      <c r="A61" s="179" t="s">
        <v>1091</v>
      </c>
      <c r="B61" s="77">
        <v>1</v>
      </c>
      <c r="C61" s="282">
        <v>1</v>
      </c>
      <c r="D61" s="228">
        <v>0</v>
      </c>
      <c r="E61" s="5">
        <f t="shared" si="17"/>
        <v>2</v>
      </c>
      <c r="F61" s="182" t="s">
        <v>788</v>
      </c>
      <c r="G61" s="78">
        <v>5</v>
      </c>
      <c r="H61" s="266">
        <v>8</v>
      </c>
      <c r="I61" s="230">
        <v>0</v>
      </c>
      <c r="J61" s="63">
        <f t="shared" si="18"/>
        <v>13</v>
      </c>
    </row>
    <row r="62" spans="1:10" ht="14.95" thickBot="1" x14ac:dyDescent="0.3">
      <c r="A62" s="179" t="s">
        <v>1042</v>
      </c>
      <c r="B62" s="77">
        <v>2</v>
      </c>
      <c r="C62" s="282">
        <v>0</v>
      </c>
      <c r="D62" s="228">
        <v>0</v>
      </c>
      <c r="E62" s="5">
        <f t="shared" si="17"/>
        <v>2</v>
      </c>
      <c r="F62" s="182" t="s">
        <v>1094</v>
      </c>
      <c r="G62" s="78">
        <v>5</v>
      </c>
      <c r="H62" s="266">
        <v>5</v>
      </c>
      <c r="I62" s="230">
        <v>0</v>
      </c>
      <c r="J62" s="63">
        <f t="shared" si="18"/>
        <v>10</v>
      </c>
    </row>
    <row r="63" spans="1:10" ht="14.95" thickBot="1" x14ac:dyDescent="0.3">
      <c r="A63" s="179" t="s">
        <v>332</v>
      </c>
      <c r="B63" s="77">
        <v>1</v>
      </c>
      <c r="C63" s="282">
        <v>1</v>
      </c>
      <c r="D63" s="228">
        <v>0</v>
      </c>
      <c r="E63" s="5">
        <f t="shared" si="17"/>
        <v>2</v>
      </c>
      <c r="F63" s="182" t="s">
        <v>1091</v>
      </c>
      <c r="G63" s="78">
        <v>5</v>
      </c>
      <c r="H63" s="266">
        <v>5</v>
      </c>
      <c r="I63" s="230">
        <v>0</v>
      </c>
      <c r="J63" s="63">
        <f t="shared" si="18"/>
        <v>10</v>
      </c>
    </row>
    <row r="64" spans="1:10" ht="14.95" thickBot="1" x14ac:dyDescent="0.3">
      <c r="A64" s="179" t="s">
        <v>664</v>
      </c>
      <c r="B64" s="77">
        <v>0</v>
      </c>
      <c r="C64" s="282">
        <v>2</v>
      </c>
      <c r="D64" s="228">
        <v>0</v>
      </c>
      <c r="E64" s="5">
        <f t="shared" si="17"/>
        <v>2</v>
      </c>
      <c r="F64" s="182" t="s">
        <v>1042</v>
      </c>
      <c r="G64" s="78">
        <v>10</v>
      </c>
      <c r="H64" s="266">
        <v>0</v>
      </c>
      <c r="I64" s="230">
        <v>0</v>
      </c>
      <c r="J64" s="63">
        <f t="shared" si="18"/>
        <v>10</v>
      </c>
    </row>
    <row r="65" spans="1:10" ht="14.95" thickBot="1" x14ac:dyDescent="0.3">
      <c r="A65" s="179" t="s">
        <v>716</v>
      </c>
      <c r="B65" s="77">
        <v>0</v>
      </c>
      <c r="C65" s="282">
        <v>1</v>
      </c>
      <c r="D65" s="228">
        <v>0</v>
      </c>
      <c r="E65" s="5">
        <f t="shared" si="17"/>
        <v>1</v>
      </c>
      <c r="F65" s="182" t="s">
        <v>332</v>
      </c>
      <c r="G65" s="78">
        <v>5</v>
      </c>
      <c r="H65" s="266">
        <v>5</v>
      </c>
      <c r="I65" s="230">
        <v>0</v>
      </c>
      <c r="J65" s="63">
        <f t="shared" si="18"/>
        <v>10</v>
      </c>
    </row>
    <row r="66" spans="1:10" ht="14.95" thickBot="1" x14ac:dyDescent="0.3">
      <c r="A66" s="179" t="s">
        <v>61</v>
      </c>
      <c r="B66" s="77">
        <v>1</v>
      </c>
      <c r="C66" s="282">
        <v>0</v>
      </c>
      <c r="D66" s="228">
        <v>0</v>
      </c>
      <c r="E66" s="5">
        <f t="shared" si="17"/>
        <v>1</v>
      </c>
      <c r="F66" s="182" t="s">
        <v>664</v>
      </c>
      <c r="G66" s="78">
        <v>0</v>
      </c>
      <c r="H66" s="266">
        <v>10</v>
      </c>
      <c r="I66" s="230">
        <v>0</v>
      </c>
      <c r="J66" s="63">
        <f t="shared" si="18"/>
        <v>10</v>
      </c>
    </row>
    <row r="67" spans="1:10" ht="14.95" thickBot="1" x14ac:dyDescent="0.3">
      <c r="A67" s="179" t="s">
        <v>549</v>
      </c>
      <c r="B67" s="77">
        <v>1</v>
      </c>
      <c r="C67" s="282">
        <v>0</v>
      </c>
      <c r="D67" s="228">
        <v>0</v>
      </c>
      <c r="E67" s="5">
        <f t="shared" si="17"/>
        <v>1</v>
      </c>
      <c r="F67" s="182" t="s">
        <v>716</v>
      </c>
      <c r="G67" s="78">
        <v>0</v>
      </c>
      <c r="H67" s="266">
        <v>5</v>
      </c>
      <c r="I67" s="230">
        <v>0</v>
      </c>
      <c r="J67" s="63">
        <f t="shared" si="18"/>
        <v>5</v>
      </c>
    </row>
    <row r="68" spans="1:10" ht="14.95" thickBot="1" x14ac:dyDescent="0.3">
      <c r="A68" s="179" t="s">
        <v>473</v>
      </c>
      <c r="B68" s="77">
        <v>0</v>
      </c>
      <c r="C68" s="282">
        <v>0</v>
      </c>
      <c r="D68" s="228">
        <v>1</v>
      </c>
      <c r="E68" s="5">
        <f t="shared" si="17"/>
        <v>1</v>
      </c>
      <c r="F68" s="182" t="s">
        <v>61</v>
      </c>
      <c r="G68" s="78">
        <v>5</v>
      </c>
      <c r="H68" s="266">
        <v>0</v>
      </c>
      <c r="I68" s="230">
        <v>0</v>
      </c>
      <c r="J68" s="63">
        <f t="shared" si="18"/>
        <v>5</v>
      </c>
    </row>
    <row r="69" spans="1:10" ht="14.95" thickBot="1" x14ac:dyDescent="0.3">
      <c r="A69" s="179" t="s">
        <v>788</v>
      </c>
      <c r="B69" s="77">
        <v>1</v>
      </c>
      <c r="C69" s="282">
        <v>0</v>
      </c>
      <c r="D69" s="228">
        <v>0</v>
      </c>
      <c r="E69" s="5">
        <f t="shared" si="17"/>
        <v>1</v>
      </c>
      <c r="F69" s="182" t="s">
        <v>549</v>
      </c>
      <c r="G69" s="78">
        <v>5</v>
      </c>
      <c r="H69" s="266">
        <v>0</v>
      </c>
      <c r="I69" s="230">
        <v>0</v>
      </c>
      <c r="J69" s="63">
        <f t="shared" si="18"/>
        <v>5</v>
      </c>
    </row>
    <row r="70" spans="1:10" ht="14.95" thickBot="1" x14ac:dyDescent="0.3">
      <c r="A70" s="179" t="s">
        <v>927</v>
      </c>
      <c r="B70" s="77">
        <v>0</v>
      </c>
      <c r="C70" s="282">
        <v>0</v>
      </c>
      <c r="D70" s="228">
        <v>1</v>
      </c>
      <c r="E70" s="5">
        <f t="shared" si="17"/>
        <v>1</v>
      </c>
      <c r="F70" s="182" t="s">
        <v>473</v>
      </c>
      <c r="G70" s="78">
        <v>0</v>
      </c>
      <c r="H70" s="266">
        <v>0</v>
      </c>
      <c r="I70" s="230">
        <v>5</v>
      </c>
      <c r="J70" s="63">
        <f t="shared" si="18"/>
        <v>5</v>
      </c>
    </row>
    <row r="71" spans="1:10" ht="14.95" thickBot="1" x14ac:dyDescent="0.3">
      <c r="A71" s="179" t="s">
        <v>491</v>
      </c>
      <c r="B71" s="77">
        <v>0</v>
      </c>
      <c r="C71" s="282">
        <v>0</v>
      </c>
      <c r="D71" s="228">
        <v>1</v>
      </c>
      <c r="E71" s="5">
        <f t="shared" si="17"/>
        <v>1</v>
      </c>
      <c r="F71" s="182" t="s">
        <v>927</v>
      </c>
      <c r="G71" s="78">
        <v>0</v>
      </c>
      <c r="H71" s="266">
        <v>0</v>
      </c>
      <c r="I71" s="230">
        <v>5</v>
      </c>
      <c r="J71" s="63">
        <f t="shared" si="18"/>
        <v>5</v>
      </c>
    </row>
    <row r="72" spans="1:10" ht="14.95" thickBot="1" x14ac:dyDescent="0.3">
      <c r="A72" s="179" t="s">
        <v>1090</v>
      </c>
      <c r="B72" s="77">
        <v>0</v>
      </c>
      <c r="C72" s="282">
        <v>1</v>
      </c>
      <c r="D72" s="228">
        <v>0</v>
      </c>
      <c r="E72" s="5">
        <f t="shared" si="17"/>
        <v>1</v>
      </c>
      <c r="F72" s="182" t="s">
        <v>491</v>
      </c>
      <c r="G72" s="78">
        <v>0</v>
      </c>
      <c r="H72" s="266">
        <v>0</v>
      </c>
      <c r="I72" s="230">
        <v>5</v>
      </c>
      <c r="J72" s="63">
        <f t="shared" si="18"/>
        <v>5</v>
      </c>
    </row>
    <row r="73" spans="1:10" ht="14.95" thickBot="1" x14ac:dyDescent="0.3">
      <c r="A73" s="179" t="s">
        <v>707</v>
      </c>
      <c r="B73" s="77">
        <v>1</v>
      </c>
      <c r="C73" s="282">
        <v>0</v>
      </c>
      <c r="D73" s="228">
        <v>0</v>
      </c>
      <c r="E73" s="5">
        <f t="shared" si="17"/>
        <v>1</v>
      </c>
      <c r="F73" s="182" t="s">
        <v>1090</v>
      </c>
      <c r="G73" s="78">
        <v>0</v>
      </c>
      <c r="H73" s="266">
        <v>5</v>
      </c>
      <c r="I73" s="230">
        <v>0</v>
      </c>
      <c r="J73" s="63">
        <f t="shared" si="18"/>
        <v>5</v>
      </c>
    </row>
    <row r="74" spans="1:10" ht="14.95" thickBot="1" x14ac:dyDescent="0.3">
      <c r="A74" s="179" t="s">
        <v>563</v>
      </c>
      <c r="B74" s="77">
        <v>0</v>
      </c>
      <c r="C74" s="282">
        <v>0</v>
      </c>
      <c r="D74" s="228">
        <v>0</v>
      </c>
      <c r="E74" s="5">
        <f t="shared" si="17"/>
        <v>0</v>
      </c>
      <c r="F74" s="182" t="s">
        <v>707</v>
      </c>
      <c r="G74" s="78">
        <v>5</v>
      </c>
      <c r="H74" s="266">
        <v>0</v>
      </c>
      <c r="I74" s="230">
        <v>0</v>
      </c>
      <c r="J74" s="63">
        <f t="shared" si="18"/>
        <v>5</v>
      </c>
    </row>
    <row r="75" spans="1:10" ht="14.95" thickBot="1" x14ac:dyDescent="0.3">
      <c r="A75" s="179" t="s">
        <v>250</v>
      </c>
      <c r="B75" s="77">
        <v>0</v>
      </c>
      <c r="C75" s="282">
        <v>0</v>
      </c>
      <c r="D75" s="228">
        <v>0</v>
      </c>
      <c r="E75" s="5">
        <f t="shared" si="17"/>
        <v>0</v>
      </c>
      <c r="F75" s="182" t="s">
        <v>916</v>
      </c>
      <c r="G75" s="78">
        <v>0</v>
      </c>
      <c r="H75" s="266">
        <v>2</v>
      </c>
      <c r="I75" s="230">
        <v>0</v>
      </c>
      <c r="J75" s="63">
        <f t="shared" si="18"/>
        <v>2</v>
      </c>
    </row>
    <row r="76" spans="1:10" ht="14.95" thickBot="1" x14ac:dyDescent="0.3">
      <c r="A76" s="179" t="s">
        <v>222</v>
      </c>
      <c r="B76" s="77">
        <v>0</v>
      </c>
      <c r="C76" s="282">
        <v>0</v>
      </c>
      <c r="D76" s="228">
        <v>0</v>
      </c>
      <c r="E76" s="5">
        <f t="shared" si="17"/>
        <v>0</v>
      </c>
      <c r="F76" s="182" t="s">
        <v>564</v>
      </c>
      <c r="G76" s="78">
        <v>0</v>
      </c>
      <c r="H76" s="266">
        <v>0</v>
      </c>
      <c r="I76" s="230">
        <v>0</v>
      </c>
      <c r="J76" s="63">
        <f t="shared" si="18"/>
        <v>0</v>
      </c>
    </row>
    <row r="77" spans="1:10" ht="14.95" thickBot="1" x14ac:dyDescent="0.3">
      <c r="A77" s="179" t="s">
        <v>586</v>
      </c>
      <c r="B77" s="77">
        <v>0</v>
      </c>
      <c r="C77" s="282">
        <v>0</v>
      </c>
      <c r="D77" s="228">
        <v>0</v>
      </c>
      <c r="E77" s="5">
        <f t="shared" si="17"/>
        <v>0</v>
      </c>
      <c r="F77" s="182" t="s">
        <v>250</v>
      </c>
      <c r="G77" s="78">
        <v>0</v>
      </c>
      <c r="H77" s="266">
        <v>0</v>
      </c>
      <c r="I77" s="230">
        <v>0</v>
      </c>
      <c r="J77" s="63">
        <f t="shared" si="18"/>
        <v>0</v>
      </c>
    </row>
    <row r="78" spans="1:10" ht="14.95" thickBot="1" x14ac:dyDescent="0.3">
      <c r="A78" s="179" t="s">
        <v>916</v>
      </c>
      <c r="B78" s="77">
        <v>0</v>
      </c>
      <c r="C78" s="282">
        <v>0</v>
      </c>
      <c r="D78" s="228">
        <v>0</v>
      </c>
      <c r="E78" s="5">
        <f t="shared" si="17"/>
        <v>0</v>
      </c>
      <c r="F78" s="182" t="s">
        <v>222</v>
      </c>
      <c r="G78" s="78">
        <v>0</v>
      </c>
      <c r="H78" s="266">
        <v>0</v>
      </c>
      <c r="I78" s="230">
        <v>0</v>
      </c>
      <c r="J78" s="63">
        <f t="shared" si="18"/>
        <v>0</v>
      </c>
    </row>
    <row r="79" spans="1:10" ht="14.95" thickBot="1" x14ac:dyDescent="0.3">
      <c r="A79" s="179" t="s">
        <v>255</v>
      </c>
      <c r="B79" s="77">
        <v>0</v>
      </c>
      <c r="C79" s="282">
        <v>0</v>
      </c>
      <c r="D79" s="228">
        <v>0</v>
      </c>
      <c r="E79" s="5">
        <f t="shared" si="17"/>
        <v>0</v>
      </c>
      <c r="F79" s="182" t="s">
        <v>586</v>
      </c>
      <c r="G79" s="78">
        <v>0</v>
      </c>
      <c r="H79" s="266">
        <v>0</v>
      </c>
      <c r="I79" s="230">
        <v>0</v>
      </c>
      <c r="J79" s="63">
        <f t="shared" si="18"/>
        <v>0</v>
      </c>
    </row>
    <row r="80" spans="1:10" ht="14.95" thickBot="1" x14ac:dyDescent="0.3">
      <c r="A80" s="179" t="s">
        <v>693</v>
      </c>
      <c r="B80" s="77">
        <v>0</v>
      </c>
      <c r="C80" s="282">
        <v>0</v>
      </c>
      <c r="D80" s="228">
        <v>0</v>
      </c>
      <c r="E80" s="5">
        <f t="shared" si="17"/>
        <v>0</v>
      </c>
      <c r="F80" s="182" t="s">
        <v>253</v>
      </c>
      <c r="G80" s="78">
        <v>0</v>
      </c>
      <c r="H80" s="266">
        <v>0</v>
      </c>
      <c r="I80" s="230">
        <v>0</v>
      </c>
      <c r="J80" s="63">
        <f t="shared" si="18"/>
        <v>0</v>
      </c>
    </row>
    <row r="81" spans="1:10" ht="14.95" thickBot="1" x14ac:dyDescent="0.3">
      <c r="A81" s="179" t="s">
        <v>694</v>
      </c>
      <c r="B81" s="77">
        <v>0</v>
      </c>
      <c r="C81" s="282">
        <v>0</v>
      </c>
      <c r="D81" s="228">
        <v>0</v>
      </c>
      <c r="E81" s="5">
        <f t="shared" si="17"/>
        <v>0</v>
      </c>
      <c r="F81" s="182" t="s">
        <v>694</v>
      </c>
      <c r="G81" s="78">
        <v>0</v>
      </c>
      <c r="H81" s="266">
        <v>0</v>
      </c>
      <c r="I81" s="230">
        <v>0</v>
      </c>
      <c r="J81" s="63">
        <f t="shared" si="18"/>
        <v>0</v>
      </c>
    </row>
    <row r="82" spans="1:10" ht="14.95" thickBot="1" x14ac:dyDescent="0.3">
      <c r="A82" s="179" t="s">
        <v>720</v>
      </c>
      <c r="B82" s="77">
        <v>0</v>
      </c>
      <c r="C82" s="282">
        <v>0</v>
      </c>
      <c r="D82" s="228">
        <v>0</v>
      </c>
      <c r="E82" s="5">
        <f t="shared" si="17"/>
        <v>0</v>
      </c>
      <c r="F82" s="182" t="s">
        <v>720</v>
      </c>
      <c r="G82" s="78">
        <v>0</v>
      </c>
      <c r="H82" s="266">
        <v>0</v>
      </c>
      <c r="I82" s="230">
        <v>0</v>
      </c>
      <c r="J82" s="63">
        <f t="shared" si="18"/>
        <v>0</v>
      </c>
    </row>
    <row r="83" spans="1:10" ht="14.95" thickBot="1" x14ac:dyDescent="0.3">
      <c r="A83" s="179" t="s">
        <v>508</v>
      </c>
      <c r="B83" s="77">
        <v>0</v>
      </c>
      <c r="C83" s="282">
        <v>0</v>
      </c>
      <c r="D83" s="228">
        <v>0</v>
      </c>
      <c r="E83" s="5">
        <f t="shared" si="17"/>
        <v>0</v>
      </c>
      <c r="F83" s="182" t="s">
        <v>508</v>
      </c>
      <c r="G83" s="78">
        <v>0</v>
      </c>
      <c r="H83" s="266">
        <v>0</v>
      </c>
      <c r="I83" s="230">
        <v>0</v>
      </c>
      <c r="J83" s="63">
        <f t="shared" si="18"/>
        <v>0</v>
      </c>
    </row>
    <row r="84" spans="1:10" ht="14.95" thickBot="1" x14ac:dyDescent="0.3">
      <c r="A84" s="179" t="s">
        <v>553</v>
      </c>
      <c r="B84" s="77">
        <v>0</v>
      </c>
      <c r="C84" s="282">
        <v>0</v>
      </c>
      <c r="D84" s="228">
        <v>0</v>
      </c>
      <c r="E84" s="5">
        <f t="shared" si="17"/>
        <v>0</v>
      </c>
      <c r="F84" s="182" t="s">
        <v>553</v>
      </c>
      <c r="G84" s="78">
        <v>0</v>
      </c>
      <c r="H84" s="266">
        <v>0</v>
      </c>
      <c r="I84" s="230">
        <v>0</v>
      </c>
      <c r="J84" s="63">
        <f t="shared" si="18"/>
        <v>0</v>
      </c>
    </row>
    <row r="85" spans="1:10" ht="14.95" thickBot="1" x14ac:dyDescent="0.3">
      <c r="A85" s="179" t="s">
        <v>450</v>
      </c>
      <c r="B85" s="77">
        <v>0</v>
      </c>
      <c r="C85" s="282">
        <v>0</v>
      </c>
      <c r="D85" s="228">
        <v>0</v>
      </c>
      <c r="E85" s="5">
        <f t="shared" si="17"/>
        <v>0</v>
      </c>
      <c r="F85" s="182" t="s">
        <v>450</v>
      </c>
      <c r="G85" s="78">
        <v>0</v>
      </c>
      <c r="H85" s="266">
        <v>0</v>
      </c>
      <c r="I85" s="230">
        <v>0</v>
      </c>
      <c r="J85" s="63">
        <f t="shared" si="18"/>
        <v>0</v>
      </c>
    </row>
    <row r="86" spans="1:10" ht="14.95" thickBot="1" x14ac:dyDescent="0.3">
      <c r="A86" s="179" t="s">
        <v>724</v>
      </c>
      <c r="B86" s="77">
        <v>0</v>
      </c>
      <c r="C86" s="282">
        <v>0</v>
      </c>
      <c r="D86" s="228">
        <v>0</v>
      </c>
      <c r="E86" s="5">
        <f t="shared" si="17"/>
        <v>0</v>
      </c>
      <c r="F86" s="182" t="s">
        <v>724</v>
      </c>
      <c r="G86" s="78">
        <v>0</v>
      </c>
      <c r="H86" s="266">
        <v>0</v>
      </c>
      <c r="I86" s="230">
        <v>0</v>
      </c>
      <c r="J86" s="63">
        <f t="shared" si="18"/>
        <v>0</v>
      </c>
    </row>
    <row r="87" spans="1:10" ht="14.95" thickBot="1" x14ac:dyDescent="0.3">
      <c r="A87" s="179" t="s">
        <v>698</v>
      </c>
      <c r="B87" s="77">
        <v>0</v>
      </c>
      <c r="C87" s="282">
        <v>0</v>
      </c>
      <c r="D87" s="228">
        <v>0</v>
      </c>
      <c r="E87" s="5">
        <f t="shared" si="17"/>
        <v>0</v>
      </c>
      <c r="F87" s="182" t="s">
        <v>698</v>
      </c>
      <c r="G87" s="78">
        <v>0</v>
      </c>
      <c r="H87" s="266">
        <v>0</v>
      </c>
      <c r="I87" s="230">
        <v>0</v>
      </c>
      <c r="J87" s="63">
        <f t="shared" si="18"/>
        <v>0</v>
      </c>
    </row>
    <row r="88" spans="1:10" ht="14.95" thickBot="1" x14ac:dyDescent="0.3">
      <c r="A88" s="179" t="s">
        <v>699</v>
      </c>
      <c r="B88" s="77">
        <v>0</v>
      </c>
      <c r="C88" s="282">
        <v>0</v>
      </c>
      <c r="D88" s="228">
        <v>0</v>
      </c>
      <c r="E88" s="5">
        <f t="shared" si="17"/>
        <v>0</v>
      </c>
      <c r="F88" s="182" t="s">
        <v>699</v>
      </c>
      <c r="G88" s="78">
        <v>0</v>
      </c>
      <c r="H88" s="266">
        <v>0</v>
      </c>
      <c r="I88" s="230">
        <v>0</v>
      </c>
      <c r="J88" s="63">
        <f t="shared" si="18"/>
        <v>0</v>
      </c>
    </row>
    <row r="89" spans="1:10" ht="14.95" thickBot="1" x14ac:dyDescent="0.3">
      <c r="A89" s="179" t="s">
        <v>273</v>
      </c>
      <c r="B89" s="77">
        <v>0</v>
      </c>
      <c r="C89" s="282">
        <v>0</v>
      </c>
      <c r="D89" s="228">
        <v>0</v>
      </c>
      <c r="E89" s="5">
        <f t="shared" si="17"/>
        <v>0</v>
      </c>
      <c r="F89" s="182" t="s">
        <v>273</v>
      </c>
      <c r="G89" s="78">
        <v>0</v>
      </c>
      <c r="H89" s="266">
        <v>0</v>
      </c>
      <c r="I89" s="230">
        <v>0</v>
      </c>
      <c r="J89" s="63">
        <f t="shared" si="18"/>
        <v>0</v>
      </c>
    </row>
    <row r="90" spans="1:10" ht="14.95" thickBot="1" x14ac:dyDescent="0.3">
      <c r="A90" s="179" t="s">
        <v>722</v>
      </c>
      <c r="B90" s="77">
        <v>0</v>
      </c>
      <c r="C90" s="282">
        <v>0</v>
      </c>
      <c r="D90" s="228">
        <v>0</v>
      </c>
      <c r="E90" s="5">
        <f t="shared" si="17"/>
        <v>0</v>
      </c>
      <c r="F90" s="182" t="s">
        <v>722</v>
      </c>
      <c r="G90" s="78">
        <v>0</v>
      </c>
      <c r="H90" s="266">
        <v>0</v>
      </c>
      <c r="I90" s="230">
        <v>0</v>
      </c>
      <c r="J90" s="63">
        <f t="shared" si="18"/>
        <v>0</v>
      </c>
    </row>
    <row r="91" spans="1:10" ht="14.95" thickBot="1" x14ac:dyDescent="0.3">
      <c r="A91" s="179" t="s">
        <v>705</v>
      </c>
      <c r="B91" s="77">
        <v>0</v>
      </c>
      <c r="C91" s="282">
        <v>0</v>
      </c>
      <c r="D91" s="228">
        <v>0</v>
      </c>
      <c r="E91" s="5">
        <f t="shared" si="17"/>
        <v>0</v>
      </c>
      <c r="F91" s="182" t="s">
        <v>705</v>
      </c>
      <c r="G91" s="78">
        <v>0</v>
      </c>
      <c r="H91" s="266">
        <v>0</v>
      </c>
      <c r="I91" s="230">
        <v>0</v>
      </c>
      <c r="J91" s="63">
        <f t="shared" si="18"/>
        <v>0</v>
      </c>
    </row>
    <row r="92" spans="1:10" ht="14.95" thickBot="1" x14ac:dyDescent="0.3">
      <c r="A92" s="179" t="s">
        <v>570</v>
      </c>
      <c r="B92" s="77">
        <v>0</v>
      </c>
      <c r="C92" s="282">
        <v>0</v>
      </c>
      <c r="D92" s="228">
        <v>0</v>
      </c>
      <c r="E92" s="5">
        <f t="shared" si="17"/>
        <v>0</v>
      </c>
      <c r="F92" s="182" t="s">
        <v>570</v>
      </c>
      <c r="G92" s="78">
        <v>0</v>
      </c>
      <c r="H92" s="266">
        <v>0</v>
      </c>
      <c r="I92" s="230">
        <v>0</v>
      </c>
      <c r="J92" s="63">
        <f t="shared" si="18"/>
        <v>0</v>
      </c>
    </row>
    <row r="93" spans="1:10" ht="14.95" thickBot="1" x14ac:dyDescent="0.3">
      <c r="A93" s="179" t="s">
        <v>878</v>
      </c>
      <c r="B93" s="77">
        <v>0</v>
      </c>
      <c r="C93" s="282">
        <v>0</v>
      </c>
      <c r="D93" s="228">
        <v>0</v>
      </c>
      <c r="E93" s="5">
        <f t="shared" si="17"/>
        <v>0</v>
      </c>
      <c r="F93" s="182" t="s">
        <v>878</v>
      </c>
      <c r="G93" s="78">
        <v>0</v>
      </c>
      <c r="H93" s="266">
        <v>0</v>
      </c>
      <c r="I93" s="230">
        <v>0</v>
      </c>
      <c r="J93" s="63">
        <f t="shared" si="18"/>
        <v>0</v>
      </c>
    </row>
    <row r="94" spans="1:10" ht="14.95" thickBot="1" x14ac:dyDescent="0.3">
      <c r="A94" s="179" t="s">
        <v>4</v>
      </c>
      <c r="B94" s="77">
        <v>0</v>
      </c>
      <c r="C94" s="282">
        <v>0</v>
      </c>
      <c r="D94" s="228">
        <v>0</v>
      </c>
      <c r="E94" s="5">
        <f t="shared" si="17"/>
        <v>0</v>
      </c>
      <c r="F94" s="182" t="s">
        <v>4</v>
      </c>
      <c r="G94" s="78">
        <v>0</v>
      </c>
      <c r="H94" s="266">
        <v>0</v>
      </c>
      <c r="I94" s="230">
        <v>0</v>
      </c>
      <c r="J94" s="63">
        <f t="shared" si="18"/>
        <v>0</v>
      </c>
    </row>
    <row r="95" spans="1:10" ht="14.95" thickBot="1" x14ac:dyDescent="0.3">
      <c r="A95" s="179" t="s">
        <v>224</v>
      </c>
      <c r="B95" s="77">
        <v>0</v>
      </c>
      <c r="C95" s="282">
        <v>0</v>
      </c>
      <c r="D95" s="228">
        <v>0</v>
      </c>
      <c r="E95" s="5">
        <f t="shared" si="17"/>
        <v>0</v>
      </c>
      <c r="F95" s="182" t="s">
        <v>224</v>
      </c>
      <c r="G95" s="78">
        <v>0</v>
      </c>
      <c r="H95" s="266">
        <v>0</v>
      </c>
      <c r="I95" s="230">
        <v>0</v>
      </c>
      <c r="J95" s="63">
        <f t="shared" si="18"/>
        <v>0</v>
      </c>
    </row>
    <row r="96" spans="1:10" ht="14.95" thickBot="1" x14ac:dyDescent="0.3">
      <c r="A96" s="179" t="s">
        <v>22</v>
      </c>
      <c r="B96" s="77">
        <v>0</v>
      </c>
      <c r="C96" s="282">
        <v>0</v>
      </c>
      <c r="D96" s="228">
        <v>0</v>
      </c>
      <c r="E96" s="5">
        <f t="shared" si="17"/>
        <v>0</v>
      </c>
      <c r="F96" s="182" t="s">
        <v>22</v>
      </c>
      <c r="G96" s="78">
        <v>0</v>
      </c>
      <c r="H96" s="266">
        <v>0</v>
      </c>
      <c r="I96" s="230">
        <v>0</v>
      </c>
      <c r="J96" s="63">
        <f t="shared" si="18"/>
        <v>0</v>
      </c>
    </row>
    <row r="97" spans="1:10" ht="14.95" thickBot="1" x14ac:dyDescent="0.3">
      <c r="A97" s="179" t="s">
        <v>68</v>
      </c>
      <c r="B97" s="77">
        <v>0</v>
      </c>
      <c r="C97" s="282">
        <v>0</v>
      </c>
      <c r="D97" s="228">
        <v>0</v>
      </c>
      <c r="E97" s="5">
        <f t="shared" si="17"/>
        <v>0</v>
      </c>
      <c r="F97" s="182" t="s">
        <v>68</v>
      </c>
      <c r="G97" s="78">
        <v>0</v>
      </c>
      <c r="H97" s="266">
        <v>0</v>
      </c>
      <c r="I97" s="230">
        <v>0</v>
      </c>
      <c r="J97" s="63">
        <f t="shared" si="18"/>
        <v>0</v>
      </c>
    </row>
    <row r="98" spans="1:10" ht="14.95" thickBot="1" x14ac:dyDescent="0.3">
      <c r="A98" s="179" t="s">
        <v>404</v>
      </c>
      <c r="B98" s="77">
        <v>0</v>
      </c>
      <c r="C98" s="282">
        <v>0</v>
      </c>
      <c r="D98" s="228">
        <v>0</v>
      </c>
      <c r="E98" s="5">
        <f t="shared" si="17"/>
        <v>0</v>
      </c>
      <c r="F98" s="182" t="s">
        <v>404</v>
      </c>
      <c r="G98" s="78">
        <v>0</v>
      </c>
      <c r="H98" s="266">
        <v>0</v>
      </c>
      <c r="I98" s="230">
        <v>0</v>
      </c>
      <c r="J98" s="63">
        <f t="shared" si="18"/>
        <v>0</v>
      </c>
    </row>
    <row r="99" spans="1:10" ht="14.95" thickBot="1" x14ac:dyDescent="0.3">
      <c r="A99" s="179" t="s">
        <v>711</v>
      </c>
      <c r="B99" s="77">
        <v>0</v>
      </c>
      <c r="C99" s="282">
        <v>0</v>
      </c>
      <c r="D99" s="228">
        <v>0</v>
      </c>
      <c r="E99" s="5">
        <f t="shared" si="17"/>
        <v>0</v>
      </c>
      <c r="F99" s="182" t="s">
        <v>711</v>
      </c>
      <c r="G99" s="78">
        <v>0</v>
      </c>
      <c r="H99" s="266">
        <v>0</v>
      </c>
      <c r="I99" s="230">
        <v>0</v>
      </c>
      <c r="J99" s="63">
        <f t="shared" si="18"/>
        <v>0</v>
      </c>
    </row>
    <row r="100" spans="1:10" ht="14.95" thickBot="1" x14ac:dyDescent="0.3">
      <c r="A100" s="179" t="s">
        <v>258</v>
      </c>
      <c r="B100" s="77">
        <v>0</v>
      </c>
      <c r="C100" s="282">
        <v>0</v>
      </c>
      <c r="D100" s="228">
        <v>0</v>
      </c>
      <c r="E100" s="5">
        <f t="shared" si="17"/>
        <v>0</v>
      </c>
      <c r="F100" s="182" t="s">
        <v>258</v>
      </c>
      <c r="G100" s="78">
        <v>0</v>
      </c>
      <c r="H100" s="266">
        <v>0</v>
      </c>
      <c r="I100" s="230">
        <v>0</v>
      </c>
      <c r="J100" s="63">
        <f t="shared" si="18"/>
        <v>0</v>
      </c>
    </row>
    <row r="101" spans="1:10" ht="14.95" thickBot="1" x14ac:dyDescent="0.3">
      <c r="A101" s="179" t="s">
        <v>3</v>
      </c>
      <c r="B101" s="77">
        <f>SUM(B54:B100)</f>
        <v>21</v>
      </c>
      <c r="C101" s="282">
        <f>SUM(C54:C100)</f>
        <v>11</v>
      </c>
      <c r="D101" s="228">
        <f>SUM(D54:D100)</f>
        <v>10</v>
      </c>
      <c r="E101" s="5">
        <f>SUM(E54:E100)</f>
        <v>42</v>
      </c>
      <c r="F101" s="181" t="s">
        <v>3</v>
      </c>
      <c r="G101" s="78">
        <f>SUM(G54:G100)</f>
        <v>153</v>
      </c>
      <c r="H101" s="266">
        <f>SUM(H54:H100)</f>
        <v>75</v>
      </c>
      <c r="I101" s="230">
        <f>SUM(I54:I100)</f>
        <v>65</v>
      </c>
      <c r="J101" s="63">
        <f>SUM(J54:J100)</f>
        <v>293</v>
      </c>
    </row>
    <row r="102" spans="1:10" ht="16.3" x14ac:dyDescent="0.3">
      <c r="A102" s="431" t="s">
        <v>34</v>
      </c>
    </row>
  </sheetData>
  <sortState xmlns:xlrd2="http://schemas.microsoft.com/office/spreadsheetml/2017/richdata2" ref="F54:J100">
    <sortCondition descending="1" ref="J54:J100"/>
  </sortState>
  <mergeCells count="61">
    <mergeCell ref="O1:Q2"/>
    <mergeCell ref="A51:H51"/>
    <mergeCell ref="K16:K17"/>
    <mergeCell ref="L16:N17"/>
    <mergeCell ref="K1:K2"/>
    <mergeCell ref="L1:N2"/>
    <mergeCell ref="L9:N10"/>
    <mergeCell ref="K26:W26"/>
    <mergeCell ref="A1:J1"/>
    <mergeCell ref="K22:K23"/>
    <mergeCell ref="L22:N23"/>
    <mergeCell ref="K27:Y27"/>
    <mergeCell ref="O22:Q23"/>
    <mergeCell ref="R22:T23"/>
    <mergeCell ref="T1:V2"/>
    <mergeCell ref="O9:Q10"/>
    <mergeCell ref="O16:Q17"/>
    <mergeCell ref="AF22:AH23"/>
    <mergeCell ref="AL9:AN10"/>
    <mergeCell ref="AL16:AN17"/>
    <mergeCell ref="U16:W17"/>
    <mergeCell ref="R16:T17"/>
    <mergeCell ref="AI9:AK10"/>
    <mergeCell ref="AI16:AK17"/>
    <mergeCell ref="AF9:AH10"/>
    <mergeCell ref="AF16:AH17"/>
    <mergeCell ref="AC9:AE10"/>
    <mergeCell ref="AC16:AE17"/>
    <mergeCell ref="AC22:AE23"/>
    <mergeCell ref="AI22:AK23"/>
    <mergeCell ref="R9:T10"/>
    <mergeCell ref="U9:W10"/>
    <mergeCell ref="AU16:AW17"/>
    <mergeCell ref="AX16:AZ17"/>
    <mergeCell ref="AL22:AN23"/>
    <mergeCell ref="AO22:AQ23"/>
    <mergeCell ref="AU22:AW23"/>
    <mergeCell ref="AR22:AT23"/>
    <mergeCell ref="AO16:AQ17"/>
    <mergeCell ref="AR16:AT17"/>
    <mergeCell ref="AL1:AN2"/>
    <mergeCell ref="AI1:AK2"/>
    <mergeCell ref="AF1:AH2"/>
    <mergeCell ref="R1:S2"/>
    <mergeCell ref="AC1:AE2"/>
    <mergeCell ref="BA16:BC17"/>
    <mergeCell ref="U22:W23"/>
    <mergeCell ref="K9:K10"/>
    <mergeCell ref="BG1:BI2"/>
    <mergeCell ref="AX1:AZ2"/>
    <mergeCell ref="AX9:AZ10"/>
    <mergeCell ref="BA9:BC10"/>
    <mergeCell ref="AO1:AQ2"/>
    <mergeCell ref="AR9:AT10"/>
    <mergeCell ref="AR1:AT2"/>
    <mergeCell ref="AU1:AW2"/>
    <mergeCell ref="AU9:AW10"/>
    <mergeCell ref="BD1:BF2"/>
    <mergeCell ref="BA1:BC2"/>
    <mergeCell ref="AO9:AQ10"/>
    <mergeCell ref="W1:Y2"/>
  </mergeCells>
  <pageMargins left="0.7" right="0.7" top="0.75" bottom="0.75" header="0.3" footer="0.3"/>
  <pageSetup paperSize="9" orientation="portrait" r:id="rId1"/>
  <ignoredErrors>
    <ignoredError sqref="E4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00"/>
  <sheetViews>
    <sheetView zoomScaleNormal="100" workbookViewId="0">
      <selection activeCell="Y23" sqref="Y23"/>
    </sheetView>
  </sheetViews>
  <sheetFormatPr defaultColWidth="8.875" defaultRowHeight="14.3" x14ac:dyDescent="0.25"/>
  <cols>
    <col min="1" max="1" width="16.625" bestFit="1" customWidth="1"/>
    <col min="2" max="2" width="3.75" customWidth="1"/>
    <col min="3" max="4" width="4.125" customWidth="1"/>
    <col min="5" max="5" width="4.75" customWidth="1"/>
    <col min="6" max="6" width="16.625" bestFit="1" customWidth="1"/>
    <col min="7" max="10" width="5.25" customWidth="1"/>
    <col min="11" max="11" width="16.75" customWidth="1"/>
    <col min="12" max="17" width="5.375" customWidth="1"/>
    <col min="18" max="51" width="5.75" customWidth="1"/>
    <col min="52" max="60" width="5.625" customWidth="1"/>
  </cols>
  <sheetData>
    <row r="1" spans="1:67" ht="14.95" customHeight="1" thickBot="1" x14ac:dyDescent="0.3">
      <c r="A1" s="553" t="s">
        <v>959</v>
      </c>
      <c r="B1" s="554"/>
      <c r="C1" s="554"/>
      <c r="D1" s="554"/>
      <c r="E1" s="554"/>
      <c r="F1" s="554"/>
      <c r="G1" s="554"/>
      <c r="H1" s="554"/>
      <c r="I1" s="554"/>
      <c r="J1" s="555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160"/>
      <c r="AB1" s="457" t="s">
        <v>601</v>
      </c>
      <c r="AC1" s="458"/>
      <c r="AD1" s="459"/>
      <c r="AE1" s="457" t="s">
        <v>494</v>
      </c>
      <c r="AF1" s="458"/>
      <c r="AG1" s="459"/>
      <c r="AH1" s="457" t="s">
        <v>407</v>
      </c>
      <c r="AI1" s="458"/>
      <c r="AJ1" s="459"/>
      <c r="AK1" s="457" t="s">
        <v>313</v>
      </c>
      <c r="AL1" s="458"/>
      <c r="AM1" s="459"/>
      <c r="AN1" s="457" t="s">
        <v>227</v>
      </c>
      <c r="AO1" s="458"/>
      <c r="AP1" s="459"/>
      <c r="AQ1" s="457" t="s">
        <v>172</v>
      </c>
      <c r="AR1" s="458"/>
      <c r="AS1" s="459"/>
      <c r="AT1" s="457" t="s">
        <v>79</v>
      </c>
      <c r="AU1" s="458"/>
      <c r="AV1" s="459"/>
      <c r="AW1" s="457" t="s">
        <v>54</v>
      </c>
      <c r="AX1" s="458"/>
      <c r="AY1" s="459"/>
      <c r="AZ1" s="457" t="s">
        <v>50</v>
      </c>
      <c r="BA1" s="458"/>
      <c r="BB1" s="459"/>
      <c r="BC1" s="457" t="s">
        <v>41</v>
      </c>
      <c r="BD1" s="458"/>
      <c r="BE1" s="459"/>
      <c r="BF1" s="457" t="s">
        <v>45</v>
      </c>
      <c r="BG1" s="458"/>
      <c r="BH1" s="459"/>
      <c r="BJ1" s="4"/>
      <c r="BK1" s="4"/>
      <c r="BL1" s="4"/>
      <c r="BO1" s="4"/>
    </row>
    <row r="2" spans="1:67" ht="14.95" customHeight="1" thickBot="1" x14ac:dyDescent="0.3">
      <c r="A2" s="120" t="s">
        <v>0</v>
      </c>
      <c r="B2" s="114" t="s">
        <v>226</v>
      </c>
      <c r="C2" s="258" t="s">
        <v>30</v>
      </c>
      <c r="D2" s="236" t="s">
        <v>339</v>
      </c>
      <c r="E2" s="128" t="s">
        <v>1</v>
      </c>
      <c r="F2" s="122" t="s">
        <v>2</v>
      </c>
      <c r="G2" s="137" t="s">
        <v>226</v>
      </c>
      <c r="H2" s="283" t="s">
        <v>30</v>
      </c>
      <c r="I2" s="213" t="s">
        <v>339</v>
      </c>
      <c r="J2" s="125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195"/>
      <c r="AA2" s="160"/>
      <c r="AB2" s="460"/>
      <c r="AC2" s="461"/>
      <c r="AD2" s="462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  <c r="BF2" s="460"/>
      <c r="BG2" s="461"/>
      <c r="BH2" s="462"/>
    </row>
    <row r="3" spans="1:67" ht="14.95" customHeight="1" thickBot="1" x14ac:dyDescent="0.3">
      <c r="A3" s="121" t="s">
        <v>964</v>
      </c>
      <c r="B3" s="77">
        <v>2</v>
      </c>
      <c r="C3" s="259">
        <v>0</v>
      </c>
      <c r="D3" s="237">
        <v>0</v>
      </c>
      <c r="E3" s="129">
        <f t="shared" ref="E3:E48" si="0">SUM(B3:D3)</f>
        <v>2</v>
      </c>
      <c r="F3" s="123" t="s">
        <v>964</v>
      </c>
      <c r="G3" s="135">
        <v>46</v>
      </c>
      <c r="H3" s="284">
        <v>21</v>
      </c>
      <c r="I3" s="214">
        <v>24</v>
      </c>
      <c r="J3" s="126">
        <f t="shared" ref="J3:J48" si="1">SUM(G3:I3)</f>
        <v>91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7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121" t="s">
        <v>359</v>
      </c>
      <c r="B4" s="77">
        <v>0</v>
      </c>
      <c r="C4" s="259">
        <v>0</v>
      </c>
      <c r="D4" s="237">
        <v>0</v>
      </c>
      <c r="E4" s="129">
        <f t="shared" si="0"/>
        <v>0</v>
      </c>
      <c r="F4" s="123" t="s">
        <v>359</v>
      </c>
      <c r="G4" s="135">
        <v>0</v>
      </c>
      <c r="H4" s="284">
        <v>0</v>
      </c>
      <c r="I4" s="214">
        <v>0</v>
      </c>
      <c r="J4" s="126">
        <f t="shared" si="1"/>
        <v>0</v>
      </c>
      <c r="K4" s="121" t="s">
        <v>969</v>
      </c>
      <c r="L4" s="305">
        <v>16</v>
      </c>
      <c r="M4" s="305">
        <v>19</v>
      </c>
      <c r="N4" s="306">
        <f t="shared" ref="N4" si="2">SUM(L4/M4)*100</f>
        <v>84.210526315789465</v>
      </c>
      <c r="O4" s="129">
        <v>6</v>
      </c>
      <c r="P4" s="129">
        <v>7</v>
      </c>
      <c r="Q4" s="130">
        <f t="shared" ref="Q4" si="3">SUM(O4/P4)*100</f>
        <v>85.714285714285708</v>
      </c>
      <c r="R4" s="129">
        <v>-1</v>
      </c>
      <c r="S4" s="129">
        <v>5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6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6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</row>
    <row r="5" spans="1:67" ht="14.95" customHeight="1" thickBot="1" x14ac:dyDescent="0.3">
      <c r="A5" s="121" t="s">
        <v>7</v>
      </c>
      <c r="B5" s="77">
        <v>0</v>
      </c>
      <c r="C5" s="259">
        <v>0</v>
      </c>
      <c r="D5" s="237">
        <v>1</v>
      </c>
      <c r="E5" s="129">
        <f t="shared" si="0"/>
        <v>1</v>
      </c>
      <c r="F5" s="123" t="s">
        <v>7</v>
      </c>
      <c r="G5" s="135">
        <v>0</v>
      </c>
      <c r="H5" s="284">
        <v>0</v>
      </c>
      <c r="I5" s="214">
        <v>5</v>
      </c>
      <c r="J5" s="126">
        <f t="shared" si="1"/>
        <v>5</v>
      </c>
      <c r="K5" s="121" t="s">
        <v>69</v>
      </c>
      <c r="L5" s="305" t="s">
        <v>15</v>
      </c>
      <c r="M5" s="305" t="s">
        <v>15</v>
      </c>
      <c r="N5" s="306" t="s">
        <v>15</v>
      </c>
      <c r="O5" s="129" t="s">
        <v>15</v>
      </c>
      <c r="P5" s="129" t="s">
        <v>15</v>
      </c>
      <c r="Q5" s="130" t="s">
        <v>15</v>
      </c>
      <c r="R5" s="129">
        <v>1</v>
      </c>
      <c r="S5" s="129">
        <v>1</v>
      </c>
      <c r="T5" s="7" t="s">
        <v>15</v>
      </c>
      <c r="U5" s="7" t="s">
        <v>15</v>
      </c>
      <c r="V5" s="153" t="s">
        <v>15</v>
      </c>
      <c r="W5" s="7">
        <v>14</v>
      </c>
      <c r="X5" s="7">
        <v>20</v>
      </c>
      <c r="Y5" s="153">
        <v>70</v>
      </c>
      <c r="Z5" s="93"/>
      <c r="AA5" s="94"/>
      <c r="AB5" s="148">
        <v>17</v>
      </c>
      <c r="AC5" s="7">
        <v>21</v>
      </c>
      <c r="AD5" s="153">
        <v>80.952380952380949</v>
      </c>
      <c r="AE5" s="7">
        <v>11</v>
      </c>
      <c r="AF5" s="7">
        <v>16</v>
      </c>
      <c r="AG5" s="153">
        <f t="shared" ref="AG5:AG6" si="4">SUM(AE5/AF5)*100</f>
        <v>68.75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6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</row>
    <row r="6" spans="1:67" ht="14.95" customHeight="1" thickBot="1" x14ac:dyDescent="0.3">
      <c r="A6" s="121" t="s">
        <v>961</v>
      </c>
      <c r="B6" s="77">
        <v>0</v>
      </c>
      <c r="C6" s="259">
        <v>0</v>
      </c>
      <c r="D6" s="237">
        <v>1</v>
      </c>
      <c r="E6" s="129">
        <f t="shared" si="0"/>
        <v>1</v>
      </c>
      <c r="F6" s="123" t="s">
        <v>961</v>
      </c>
      <c r="G6" s="135">
        <v>0</v>
      </c>
      <c r="H6" s="284">
        <v>0</v>
      </c>
      <c r="I6" s="214">
        <v>5</v>
      </c>
      <c r="J6" s="126">
        <f t="shared" si="1"/>
        <v>5</v>
      </c>
      <c r="K6" s="121" t="s">
        <v>43</v>
      </c>
      <c r="L6" s="129" t="s">
        <v>15</v>
      </c>
      <c r="M6" s="129" t="s">
        <v>15</v>
      </c>
      <c r="N6" s="130" t="s">
        <v>15</v>
      </c>
      <c r="O6" s="129" t="s">
        <v>15</v>
      </c>
      <c r="P6" s="129" t="s">
        <v>15</v>
      </c>
      <c r="Q6" s="130" t="s">
        <v>15</v>
      </c>
      <c r="R6" s="129">
        <v>-1</v>
      </c>
      <c r="S6" s="129">
        <v>-1</v>
      </c>
      <c r="T6" s="7">
        <v>12</v>
      </c>
      <c r="U6" s="7">
        <v>14</v>
      </c>
      <c r="V6" s="153">
        <v>85.714285714285708</v>
      </c>
      <c r="W6" s="7">
        <v>0</v>
      </c>
      <c r="X6" s="7">
        <v>1</v>
      </c>
      <c r="Y6" s="153">
        <v>0</v>
      </c>
      <c r="Z6" s="93"/>
      <c r="AA6" s="94"/>
      <c r="AB6" s="148">
        <v>3</v>
      </c>
      <c r="AC6" s="7">
        <v>6</v>
      </c>
      <c r="AD6" s="153">
        <v>50</v>
      </c>
      <c r="AE6" s="7">
        <v>2</v>
      </c>
      <c r="AF6" s="7">
        <v>4</v>
      </c>
      <c r="AG6" s="153">
        <f t="shared" si="4"/>
        <v>50</v>
      </c>
      <c r="AH6" s="148">
        <v>3</v>
      </c>
      <c r="AI6" s="7">
        <v>5</v>
      </c>
      <c r="AJ6" s="7">
        <f t="shared" ref="AJ6" si="5">SUM(AH6/AI6)*100</f>
        <v>60</v>
      </c>
      <c r="AK6" s="148" t="s">
        <v>15</v>
      </c>
      <c r="AL6" s="7" t="s">
        <v>15</v>
      </c>
      <c r="AM6" s="7" t="s">
        <v>15</v>
      </c>
      <c r="AN6" s="148">
        <v>3</v>
      </c>
      <c r="AO6" s="7">
        <v>3</v>
      </c>
      <c r="AP6" s="7">
        <v>100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6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</row>
    <row r="7" spans="1:67" ht="14.95" customHeight="1" thickBot="1" x14ac:dyDescent="0.3">
      <c r="A7" s="121" t="s">
        <v>963</v>
      </c>
      <c r="B7" s="77">
        <v>0</v>
      </c>
      <c r="C7" s="259">
        <v>1</v>
      </c>
      <c r="D7" s="237">
        <v>3</v>
      </c>
      <c r="E7" s="129">
        <f t="shared" si="0"/>
        <v>4</v>
      </c>
      <c r="F7" s="123" t="s">
        <v>963</v>
      </c>
      <c r="G7" s="135">
        <v>0</v>
      </c>
      <c r="H7" s="284">
        <v>5</v>
      </c>
      <c r="I7" s="214">
        <v>15</v>
      </c>
      <c r="J7" s="126">
        <f t="shared" si="1"/>
        <v>20</v>
      </c>
      <c r="K7" s="304" t="s">
        <v>271</v>
      </c>
      <c r="L7" s="129" t="s">
        <v>15</v>
      </c>
      <c r="M7" s="129" t="s">
        <v>15</v>
      </c>
      <c r="N7" s="130" t="s">
        <v>15</v>
      </c>
      <c r="O7" s="129" t="s">
        <v>15</v>
      </c>
      <c r="P7" s="129" t="s">
        <v>15</v>
      </c>
      <c r="Q7" s="130" t="s">
        <v>15</v>
      </c>
      <c r="R7" s="305">
        <v>2</v>
      </c>
      <c r="S7" s="305">
        <v>2</v>
      </c>
      <c r="T7" s="7">
        <v>2</v>
      </c>
      <c r="U7" s="7">
        <v>2</v>
      </c>
      <c r="V7" s="153">
        <v>100</v>
      </c>
      <c r="W7" s="7" t="s">
        <v>15</v>
      </c>
      <c r="X7" s="7" t="s">
        <v>15</v>
      </c>
      <c r="Y7" s="153" t="s">
        <v>15</v>
      </c>
      <c r="Z7" s="94"/>
      <c r="AA7" s="94"/>
      <c r="AB7" s="6" t="s">
        <v>15</v>
      </c>
      <c r="AC7" s="7" t="s">
        <v>15</v>
      </c>
      <c r="AD7" s="153" t="s">
        <v>15</v>
      </c>
      <c r="AE7" s="7" t="s">
        <v>15</v>
      </c>
      <c r="AF7" s="7" t="s">
        <v>15</v>
      </c>
      <c r="AG7" s="153" t="s">
        <v>15</v>
      </c>
      <c r="AH7" s="7" t="s">
        <v>15</v>
      </c>
      <c r="AI7" s="7" t="s">
        <v>15</v>
      </c>
      <c r="AJ7" s="153" t="s">
        <v>15</v>
      </c>
      <c r="AK7" s="7" t="s">
        <v>15</v>
      </c>
      <c r="AL7" s="7" t="s">
        <v>15</v>
      </c>
      <c r="AM7" s="153" t="s">
        <v>15</v>
      </c>
      <c r="AN7" s="7" t="s">
        <v>15</v>
      </c>
      <c r="AO7" s="7" t="s">
        <v>15</v>
      </c>
      <c r="AP7" s="153" t="s">
        <v>15</v>
      </c>
      <c r="AQ7" s="7" t="s">
        <v>15</v>
      </c>
      <c r="AR7" s="7" t="s">
        <v>15</v>
      </c>
      <c r="AS7" s="153" t="s">
        <v>15</v>
      </c>
      <c r="AT7" s="7" t="s">
        <v>15</v>
      </c>
      <c r="AU7" s="7" t="s">
        <v>15</v>
      </c>
      <c r="AV7" s="153" t="s">
        <v>15</v>
      </c>
      <c r="AW7" s="7" t="s">
        <v>15</v>
      </c>
      <c r="AX7" s="7" t="s">
        <v>15</v>
      </c>
      <c r="AY7" s="153" t="s">
        <v>15</v>
      </c>
      <c r="AZ7" s="7" t="s">
        <v>15</v>
      </c>
      <c r="BA7" s="7" t="s">
        <v>15</v>
      </c>
      <c r="BB7" s="153" t="s">
        <v>15</v>
      </c>
      <c r="BC7" s="7" t="s">
        <v>15</v>
      </c>
      <c r="BD7" s="7" t="s">
        <v>15</v>
      </c>
      <c r="BE7" s="153" t="s">
        <v>15</v>
      </c>
      <c r="BF7" s="7" t="s">
        <v>15</v>
      </c>
      <c r="BG7" s="7" t="s">
        <v>15</v>
      </c>
      <c r="BH7" s="153" t="s">
        <v>15</v>
      </c>
    </row>
    <row r="8" spans="1:67" ht="14.95" customHeight="1" thickBot="1" x14ac:dyDescent="0.3">
      <c r="A8" s="121" t="s">
        <v>167</v>
      </c>
      <c r="B8" s="77">
        <v>5</v>
      </c>
      <c r="C8" s="259">
        <v>1</v>
      </c>
      <c r="D8" s="237">
        <v>0</v>
      </c>
      <c r="E8" s="129">
        <f t="shared" si="0"/>
        <v>6</v>
      </c>
      <c r="F8" s="124" t="s">
        <v>167</v>
      </c>
      <c r="G8" s="135">
        <v>25</v>
      </c>
      <c r="H8" s="284">
        <v>5</v>
      </c>
      <c r="I8" s="214">
        <v>0</v>
      </c>
      <c r="J8" s="126">
        <f t="shared" si="1"/>
        <v>30</v>
      </c>
      <c r="K8" s="304" t="s">
        <v>71</v>
      </c>
      <c r="L8" s="129" t="s">
        <v>15</v>
      </c>
      <c r="M8" s="129" t="s">
        <v>15</v>
      </c>
      <c r="N8" s="130" t="s">
        <v>15</v>
      </c>
      <c r="O8" s="129" t="s">
        <v>15</v>
      </c>
      <c r="P8" s="129" t="s">
        <v>15</v>
      </c>
      <c r="Q8" s="130" t="s">
        <v>15</v>
      </c>
      <c r="R8" s="305">
        <v>1</v>
      </c>
      <c r="S8" s="305">
        <v>1</v>
      </c>
      <c r="T8" s="7">
        <v>2</v>
      </c>
      <c r="U8" s="7">
        <v>5</v>
      </c>
      <c r="V8" s="153">
        <v>40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121" t="s">
        <v>291</v>
      </c>
      <c r="B9" s="77">
        <v>0</v>
      </c>
      <c r="C9" s="259">
        <v>0</v>
      </c>
      <c r="D9" s="237">
        <v>0</v>
      </c>
      <c r="E9" s="129">
        <f t="shared" si="0"/>
        <v>0</v>
      </c>
      <c r="F9" s="124" t="s">
        <v>291</v>
      </c>
      <c r="G9" s="135">
        <v>0</v>
      </c>
      <c r="H9" s="284">
        <v>0</v>
      </c>
      <c r="I9" s="214">
        <v>0</v>
      </c>
      <c r="J9" s="126">
        <f t="shared" si="1"/>
        <v>0</v>
      </c>
      <c r="K9" s="304" t="s">
        <v>1052</v>
      </c>
      <c r="L9" s="305" t="s">
        <v>15</v>
      </c>
      <c r="M9" s="305" t="s">
        <v>15</v>
      </c>
      <c r="N9" s="306" t="s">
        <v>15</v>
      </c>
      <c r="O9" s="129" t="s">
        <v>15</v>
      </c>
      <c r="P9" s="129" t="s">
        <v>15</v>
      </c>
      <c r="Q9" s="130" t="s">
        <v>15</v>
      </c>
      <c r="R9" s="305" t="s">
        <v>19</v>
      </c>
      <c r="S9" s="305">
        <v>1</v>
      </c>
      <c r="T9" s="7"/>
      <c r="U9" s="7"/>
      <c r="V9" s="153"/>
      <c r="W9" s="7"/>
      <c r="X9" s="7"/>
      <c r="Y9" s="153"/>
      <c r="Z9" s="94"/>
      <c r="AA9" s="94"/>
      <c r="AB9" s="148"/>
      <c r="AC9" s="7"/>
      <c r="AD9" s="153"/>
      <c r="AE9" s="6"/>
      <c r="AF9" s="7"/>
      <c r="AG9" s="153"/>
      <c r="AH9" s="7"/>
      <c r="AI9" s="7"/>
      <c r="AJ9" s="153"/>
      <c r="AK9" s="7"/>
      <c r="AL9" s="7"/>
      <c r="AM9" s="153"/>
      <c r="AN9" s="7"/>
      <c r="AO9" s="7"/>
      <c r="AP9" s="153"/>
      <c r="AQ9" s="7"/>
      <c r="AR9" s="7"/>
      <c r="AS9" s="153"/>
      <c r="AT9" s="7"/>
      <c r="AU9" s="7"/>
      <c r="AV9" s="153"/>
      <c r="AW9" s="7"/>
      <c r="AX9" s="7"/>
      <c r="AY9" s="153"/>
      <c r="AZ9" s="7"/>
      <c r="BA9" s="7"/>
      <c r="BB9" s="153"/>
      <c r="BC9" s="7"/>
      <c r="BD9" s="7"/>
      <c r="BE9" s="153"/>
      <c r="BF9" s="7"/>
      <c r="BG9" s="7"/>
      <c r="BH9" s="153"/>
    </row>
    <row r="10" spans="1:67" ht="14.95" customHeight="1" thickBot="1" x14ac:dyDescent="0.3">
      <c r="A10" s="121" t="s">
        <v>161</v>
      </c>
      <c r="B10" s="77">
        <v>0</v>
      </c>
      <c r="C10" s="259">
        <v>1</v>
      </c>
      <c r="D10" s="237">
        <v>0</v>
      </c>
      <c r="E10" s="129">
        <f t="shared" si="0"/>
        <v>1</v>
      </c>
      <c r="F10" s="124" t="s">
        <v>161</v>
      </c>
      <c r="G10" s="135">
        <v>0</v>
      </c>
      <c r="H10" s="284">
        <v>5</v>
      </c>
      <c r="I10" s="214">
        <v>0</v>
      </c>
      <c r="J10" s="126">
        <f t="shared" si="1"/>
        <v>5</v>
      </c>
      <c r="K10" s="304" t="s">
        <v>486</v>
      </c>
      <c r="L10" s="129">
        <v>27</v>
      </c>
      <c r="M10" s="129">
        <v>39</v>
      </c>
      <c r="N10" s="130">
        <f t="shared" ref="N10" si="6">SUM(L10/M10)*100</f>
        <v>69.230769230769226</v>
      </c>
      <c r="O10" s="129" t="s">
        <v>15</v>
      </c>
      <c r="P10" s="129" t="s">
        <v>15</v>
      </c>
      <c r="Q10" s="130" t="s">
        <v>15</v>
      </c>
      <c r="R10" s="305">
        <v>1</v>
      </c>
      <c r="S10" s="305">
        <v>1</v>
      </c>
      <c r="T10" s="7">
        <v>43</v>
      </c>
      <c r="U10" s="7">
        <v>53</v>
      </c>
      <c r="V10" s="153">
        <v>81.132075471698116</v>
      </c>
      <c r="W10" s="7">
        <v>65</v>
      </c>
      <c r="X10" s="7">
        <v>80</v>
      </c>
      <c r="Y10" s="153">
        <v>81.25</v>
      </c>
      <c r="Z10" s="94"/>
      <c r="AA10" s="94"/>
      <c r="AB10" s="148">
        <v>47</v>
      </c>
      <c r="AC10" s="7">
        <v>59</v>
      </c>
      <c r="AD10" s="153">
        <v>79.66101694915254</v>
      </c>
      <c r="AE10" s="6">
        <v>39</v>
      </c>
      <c r="AF10" s="7">
        <v>54</v>
      </c>
      <c r="AG10" s="153">
        <f>(AE10/AF10)*100</f>
        <v>72.222222222222214</v>
      </c>
      <c r="AH10" s="148">
        <v>2</v>
      </c>
      <c r="AI10" s="7">
        <v>5</v>
      </c>
      <c r="AJ10" s="153">
        <f>(AH10/AI10)*100</f>
        <v>40</v>
      </c>
      <c r="AK10" s="148" t="s">
        <v>15</v>
      </c>
      <c r="AL10" s="7" t="s">
        <v>15</v>
      </c>
      <c r="AM10" s="7" t="s">
        <v>15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6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7" ht="14.95" customHeight="1" thickBot="1" x14ac:dyDescent="0.3">
      <c r="A11" s="121" t="s">
        <v>962</v>
      </c>
      <c r="B11" s="77">
        <v>2</v>
      </c>
      <c r="C11" s="259">
        <v>1</v>
      </c>
      <c r="D11" s="237">
        <v>0</v>
      </c>
      <c r="E11" s="129">
        <f t="shared" si="0"/>
        <v>3</v>
      </c>
      <c r="F11" s="123" t="s">
        <v>962</v>
      </c>
      <c r="G11" s="135">
        <v>10</v>
      </c>
      <c r="H11" s="284">
        <v>5</v>
      </c>
      <c r="I11" s="214">
        <v>0</v>
      </c>
      <c r="J11" s="126">
        <f t="shared" si="1"/>
        <v>15</v>
      </c>
    </row>
    <row r="12" spans="1:67" ht="14.95" customHeight="1" thickBot="1" x14ac:dyDescent="0.3">
      <c r="A12" s="121" t="s">
        <v>288</v>
      </c>
      <c r="B12" s="77">
        <v>9</v>
      </c>
      <c r="C12" s="259">
        <v>1</v>
      </c>
      <c r="D12" s="237">
        <v>0</v>
      </c>
      <c r="E12" s="129">
        <f t="shared" si="0"/>
        <v>10</v>
      </c>
      <c r="F12" s="123" t="s">
        <v>288</v>
      </c>
      <c r="G12" s="135">
        <v>45</v>
      </c>
      <c r="H12" s="284">
        <v>5</v>
      </c>
      <c r="I12" s="214">
        <v>0</v>
      </c>
      <c r="J12" s="126">
        <f t="shared" si="1"/>
        <v>50</v>
      </c>
      <c r="K12" s="492" t="s">
        <v>195</v>
      </c>
      <c r="L12" s="481" t="s">
        <v>14</v>
      </c>
      <c r="M12" s="482"/>
      <c r="N12" s="483"/>
      <c r="O12" s="457" t="s">
        <v>234</v>
      </c>
      <c r="P12" s="458"/>
      <c r="Q12" s="459"/>
      <c r="R12" s="457" t="s">
        <v>903</v>
      </c>
      <c r="S12" s="458"/>
      <c r="T12" s="459"/>
      <c r="U12" s="457" t="s">
        <v>601</v>
      </c>
      <c r="V12" s="458"/>
      <c r="W12" s="459"/>
      <c r="X12" s="160"/>
      <c r="Y12" s="160"/>
      <c r="Z12" s="160"/>
      <c r="AB12" s="457" t="s">
        <v>494</v>
      </c>
      <c r="AC12" s="458"/>
      <c r="AD12" s="459"/>
      <c r="AE12" s="457" t="s">
        <v>407</v>
      </c>
      <c r="AF12" s="458"/>
      <c r="AG12" s="459"/>
      <c r="AH12" s="457" t="s">
        <v>313</v>
      </c>
      <c r="AI12" s="458"/>
      <c r="AJ12" s="459"/>
      <c r="AK12" s="457" t="s">
        <v>227</v>
      </c>
      <c r="AL12" s="458"/>
      <c r="AM12" s="459"/>
      <c r="AN12" s="457" t="s">
        <v>172</v>
      </c>
      <c r="AO12" s="458"/>
      <c r="AP12" s="459"/>
      <c r="AQ12" s="457" t="s">
        <v>79</v>
      </c>
      <c r="AR12" s="458"/>
      <c r="AS12" s="459"/>
      <c r="AT12" s="457" t="s">
        <v>54</v>
      </c>
      <c r="AU12" s="458"/>
      <c r="AV12" s="459"/>
      <c r="AW12" s="457" t="s">
        <v>50</v>
      </c>
      <c r="AX12" s="458"/>
      <c r="AY12" s="459"/>
      <c r="AZ12" s="457" t="s">
        <v>146</v>
      </c>
      <c r="BA12" s="458"/>
      <c r="BB12" s="459"/>
    </row>
    <row r="13" spans="1:67" ht="14.95" customHeight="1" thickBot="1" x14ac:dyDescent="0.3">
      <c r="A13" s="121" t="s">
        <v>69</v>
      </c>
      <c r="B13" s="77">
        <v>1</v>
      </c>
      <c r="C13" s="259">
        <v>0</v>
      </c>
      <c r="D13" s="237">
        <v>0</v>
      </c>
      <c r="E13" s="129">
        <f t="shared" si="0"/>
        <v>1</v>
      </c>
      <c r="F13" s="123" t="s">
        <v>69</v>
      </c>
      <c r="G13" s="135">
        <v>5</v>
      </c>
      <c r="H13" s="284">
        <v>0</v>
      </c>
      <c r="I13" s="214">
        <v>5</v>
      </c>
      <c r="J13" s="126">
        <f t="shared" si="1"/>
        <v>10</v>
      </c>
      <c r="K13" s="493"/>
      <c r="L13" s="484"/>
      <c r="M13" s="485"/>
      <c r="N13" s="486"/>
      <c r="O13" s="460"/>
      <c r="P13" s="461"/>
      <c r="Q13" s="462"/>
      <c r="R13" s="460"/>
      <c r="S13" s="461"/>
      <c r="T13" s="462"/>
      <c r="U13" s="460"/>
      <c r="V13" s="461"/>
      <c r="W13" s="462"/>
      <c r="X13" s="160"/>
      <c r="Y13" s="160"/>
      <c r="Z13" s="160"/>
      <c r="AB13" s="460"/>
      <c r="AC13" s="461"/>
      <c r="AD13" s="462"/>
      <c r="AE13" s="460"/>
      <c r="AF13" s="461"/>
      <c r="AG13" s="462"/>
      <c r="AH13" s="460"/>
      <c r="AI13" s="461"/>
      <c r="AJ13" s="462"/>
      <c r="AK13" s="460"/>
      <c r="AL13" s="461"/>
      <c r="AM13" s="462"/>
      <c r="AN13" s="460"/>
      <c r="AO13" s="461"/>
      <c r="AP13" s="462"/>
      <c r="AQ13" s="460"/>
      <c r="AR13" s="461"/>
      <c r="AS13" s="462"/>
      <c r="AT13" s="460"/>
      <c r="AU13" s="461"/>
      <c r="AV13" s="462"/>
      <c r="AW13" s="460"/>
      <c r="AX13" s="461"/>
      <c r="AY13" s="462"/>
      <c r="AZ13" s="460"/>
      <c r="BA13" s="461"/>
      <c r="BB13" s="462"/>
    </row>
    <row r="14" spans="1:67" ht="14.95" customHeight="1" thickBot="1" x14ac:dyDescent="0.3">
      <c r="A14" s="121" t="s">
        <v>511</v>
      </c>
      <c r="B14" s="77">
        <v>0</v>
      </c>
      <c r="C14" s="259">
        <v>0</v>
      </c>
      <c r="D14" s="237">
        <v>0</v>
      </c>
      <c r="E14" s="129">
        <f t="shared" si="0"/>
        <v>0</v>
      </c>
      <c r="F14" s="123" t="s">
        <v>511</v>
      </c>
      <c r="G14" s="135">
        <v>0</v>
      </c>
      <c r="H14" s="284">
        <v>0</v>
      </c>
      <c r="I14" s="214">
        <v>0</v>
      </c>
      <c r="J14" s="126">
        <f t="shared" si="1"/>
        <v>0</v>
      </c>
      <c r="K14" s="252" t="s">
        <v>21</v>
      </c>
      <c r="L14" s="3" t="s">
        <v>46</v>
      </c>
      <c r="M14" s="3" t="s">
        <v>9</v>
      </c>
      <c r="N14" s="3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</row>
    <row r="15" spans="1:67" ht="14.95" customHeight="1" thickBot="1" x14ac:dyDescent="0.3">
      <c r="A15" s="121" t="s">
        <v>266</v>
      </c>
      <c r="B15" s="77">
        <v>0</v>
      </c>
      <c r="C15" s="259">
        <v>0</v>
      </c>
      <c r="D15" s="237">
        <v>1</v>
      </c>
      <c r="E15" s="129">
        <f t="shared" si="0"/>
        <v>1</v>
      </c>
      <c r="F15" s="123" t="s">
        <v>266</v>
      </c>
      <c r="G15" s="135">
        <v>0</v>
      </c>
      <c r="H15" s="284">
        <v>0</v>
      </c>
      <c r="I15" s="214">
        <v>5</v>
      </c>
      <c r="J15" s="126">
        <f t="shared" si="1"/>
        <v>5</v>
      </c>
      <c r="K15" s="121" t="s">
        <v>964</v>
      </c>
      <c r="L15" s="129">
        <v>10</v>
      </c>
      <c r="M15" s="129">
        <v>11</v>
      </c>
      <c r="N15" s="130">
        <f t="shared" ref="N15" si="7">SUM(L15/M15)*100</f>
        <v>90.909090909090907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>
        <v>11</v>
      </c>
      <c r="V15" s="7">
        <v>12</v>
      </c>
      <c r="W15" s="153">
        <v>91.666666666666657</v>
      </c>
      <c r="AB15" s="148">
        <v>6</v>
      </c>
      <c r="AC15" s="7">
        <v>8</v>
      </c>
      <c r="AD15" s="153">
        <f t="shared" ref="AD15" si="8">SUM(AB15/AC15)*100</f>
        <v>75</v>
      </c>
      <c r="AE15" s="148" t="s">
        <v>15</v>
      </c>
      <c r="AF15" s="7" t="s">
        <v>15</v>
      </c>
      <c r="AG15" s="7" t="s">
        <v>15</v>
      </c>
      <c r="AH15" s="148">
        <v>16</v>
      </c>
      <c r="AI15" s="7">
        <v>23</v>
      </c>
      <c r="AJ15" s="7">
        <v>70</v>
      </c>
      <c r="AK15" s="6">
        <v>9</v>
      </c>
      <c r="AL15" s="152">
        <v>13</v>
      </c>
      <c r="AM15" s="152">
        <v>69</v>
      </c>
      <c r="AN15" s="6">
        <v>13</v>
      </c>
      <c r="AO15" s="152">
        <v>17</v>
      </c>
      <c r="AP15" s="152">
        <v>76</v>
      </c>
      <c r="AQ15" s="6" t="s">
        <v>15</v>
      </c>
      <c r="AR15" s="152" t="s">
        <v>15</v>
      </c>
      <c r="AS15" s="152" t="s">
        <v>15</v>
      </c>
      <c r="AT15" s="6" t="s">
        <v>15</v>
      </c>
      <c r="AU15" s="152" t="s">
        <v>15</v>
      </c>
      <c r="AV15" s="152" t="s">
        <v>15</v>
      </c>
      <c r="AW15" s="6" t="s">
        <v>15</v>
      </c>
      <c r="AX15" s="152" t="s">
        <v>15</v>
      </c>
      <c r="AY15" s="152" t="s">
        <v>15</v>
      </c>
      <c r="AZ15" s="152" t="s">
        <v>15</v>
      </c>
      <c r="BA15" s="152" t="s">
        <v>15</v>
      </c>
      <c r="BB15" s="152" t="s">
        <v>15</v>
      </c>
    </row>
    <row r="16" spans="1:67" ht="14.95" customHeight="1" thickBot="1" x14ac:dyDescent="0.3">
      <c r="A16" s="121" t="s">
        <v>813</v>
      </c>
      <c r="B16" s="77">
        <v>0</v>
      </c>
      <c r="C16" s="259">
        <v>0</v>
      </c>
      <c r="D16" s="237">
        <v>0</v>
      </c>
      <c r="E16" s="129">
        <f t="shared" si="0"/>
        <v>0</v>
      </c>
      <c r="F16" s="123" t="s">
        <v>813</v>
      </c>
      <c r="G16" s="135">
        <v>0</v>
      </c>
      <c r="H16" s="284">
        <v>0</v>
      </c>
      <c r="I16" s="214">
        <v>0</v>
      </c>
      <c r="J16" s="126">
        <f t="shared" si="1"/>
        <v>0</v>
      </c>
      <c r="K16" s="121" t="s">
        <v>69</v>
      </c>
      <c r="L16" s="129" t="s">
        <v>15</v>
      </c>
      <c r="M16" s="129" t="s">
        <v>15</v>
      </c>
      <c r="N16" s="130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>
        <v>6</v>
      </c>
      <c r="AC16" s="7">
        <v>8</v>
      </c>
      <c r="AD16" s="153">
        <f t="shared" ref="AD16" si="9">SUM(AB16/AC16)*100</f>
        <v>75</v>
      </c>
      <c r="AE16" s="148" t="s">
        <v>15</v>
      </c>
      <c r="AF16" s="7" t="s">
        <v>15</v>
      </c>
      <c r="AG16" s="7" t="s">
        <v>15</v>
      </c>
      <c r="AH16" s="148" t="s">
        <v>15</v>
      </c>
      <c r="AI16" s="7" t="s">
        <v>15</v>
      </c>
      <c r="AJ16" s="7" t="s">
        <v>15</v>
      </c>
      <c r="AK16" s="6" t="s">
        <v>15</v>
      </c>
      <c r="AL16" s="152" t="s">
        <v>15</v>
      </c>
      <c r="AM16" s="152" t="s">
        <v>15</v>
      </c>
      <c r="AN16" s="6" t="s">
        <v>15</v>
      </c>
      <c r="AO16" s="152" t="s">
        <v>15</v>
      </c>
      <c r="AP16" s="152" t="s">
        <v>15</v>
      </c>
      <c r="AQ16" s="6" t="s">
        <v>15</v>
      </c>
      <c r="AR16" s="152" t="s">
        <v>15</v>
      </c>
      <c r="AS16" s="152" t="s">
        <v>15</v>
      </c>
      <c r="AT16" s="6" t="s">
        <v>15</v>
      </c>
      <c r="AU16" s="152" t="s">
        <v>15</v>
      </c>
      <c r="AV16" s="152" t="s">
        <v>15</v>
      </c>
      <c r="AW16" s="6" t="s">
        <v>15</v>
      </c>
      <c r="AX16" s="152" t="s">
        <v>15</v>
      </c>
      <c r="AY16" s="152" t="s">
        <v>15</v>
      </c>
      <c r="AZ16" s="152" t="s">
        <v>15</v>
      </c>
      <c r="BA16" s="152" t="s">
        <v>15</v>
      </c>
      <c r="BB16" s="152" t="s">
        <v>15</v>
      </c>
    </row>
    <row r="17" spans="1:57" ht="14.95" customHeight="1" thickBot="1" x14ac:dyDescent="0.3">
      <c r="A17" s="121" t="s">
        <v>364</v>
      </c>
      <c r="B17" s="77">
        <v>4</v>
      </c>
      <c r="C17" s="259">
        <v>4</v>
      </c>
      <c r="D17" s="237">
        <v>0</v>
      </c>
      <c r="E17" s="129">
        <f t="shared" si="0"/>
        <v>8</v>
      </c>
      <c r="F17" s="123" t="s">
        <v>364</v>
      </c>
      <c r="G17" s="135">
        <v>20</v>
      </c>
      <c r="H17" s="284">
        <v>20</v>
      </c>
      <c r="I17" s="214">
        <v>0</v>
      </c>
      <c r="J17" s="127">
        <f t="shared" si="1"/>
        <v>40</v>
      </c>
      <c r="K17" s="121" t="s">
        <v>43</v>
      </c>
      <c r="L17" s="129" t="s">
        <v>15</v>
      </c>
      <c r="M17" s="129" t="s">
        <v>15</v>
      </c>
      <c r="N17" s="130" t="s">
        <v>15</v>
      </c>
      <c r="O17" s="7">
        <v>5</v>
      </c>
      <c r="P17" s="7">
        <v>5</v>
      </c>
      <c r="Q17" s="153">
        <v>100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>
        <v>2</v>
      </c>
      <c r="AF17" s="7">
        <v>3</v>
      </c>
      <c r="AG17" s="153">
        <f t="shared" ref="AG17" si="10">SUM(AE17/AF17)*100</f>
        <v>66.666666666666657</v>
      </c>
      <c r="AH17" s="148" t="s">
        <v>15</v>
      </c>
      <c r="AI17" s="7" t="s">
        <v>15</v>
      </c>
      <c r="AJ17" s="153" t="s">
        <v>15</v>
      </c>
      <c r="AK17" s="6" t="s">
        <v>15</v>
      </c>
      <c r="AL17" s="152" t="s">
        <v>15</v>
      </c>
      <c r="AM17" s="152" t="s">
        <v>15</v>
      </c>
      <c r="AN17" s="6" t="s">
        <v>15</v>
      </c>
      <c r="AO17" s="152" t="s">
        <v>15</v>
      </c>
      <c r="AP17" s="152" t="s">
        <v>15</v>
      </c>
      <c r="AQ17" s="6" t="s">
        <v>15</v>
      </c>
      <c r="AR17" s="152" t="s">
        <v>15</v>
      </c>
      <c r="AS17" s="152" t="s">
        <v>15</v>
      </c>
      <c r="AT17" s="6" t="s">
        <v>15</v>
      </c>
      <c r="AU17" s="152" t="s">
        <v>15</v>
      </c>
      <c r="AV17" s="152" t="s">
        <v>15</v>
      </c>
      <c r="AW17" s="6" t="s">
        <v>15</v>
      </c>
      <c r="AX17" s="152" t="s">
        <v>15</v>
      </c>
      <c r="AY17" s="152" t="s">
        <v>15</v>
      </c>
      <c r="AZ17" s="152" t="s">
        <v>15</v>
      </c>
      <c r="BA17" s="152" t="s">
        <v>15</v>
      </c>
      <c r="BB17" s="152" t="s">
        <v>15</v>
      </c>
    </row>
    <row r="18" spans="1:57" ht="14.95" customHeight="1" thickBot="1" x14ac:dyDescent="0.3">
      <c r="A18" s="121" t="s">
        <v>43</v>
      </c>
      <c r="B18" s="77">
        <v>0</v>
      </c>
      <c r="C18" s="259">
        <v>0</v>
      </c>
      <c r="D18" s="237">
        <v>0</v>
      </c>
      <c r="E18" s="129">
        <f t="shared" si="0"/>
        <v>0</v>
      </c>
      <c r="F18" s="123" t="s">
        <v>43</v>
      </c>
      <c r="G18" s="135">
        <v>0</v>
      </c>
      <c r="H18" s="284">
        <v>0</v>
      </c>
      <c r="I18" s="214">
        <v>0</v>
      </c>
      <c r="J18" s="126">
        <f t="shared" si="1"/>
        <v>0</v>
      </c>
      <c r="K18" s="221" t="s">
        <v>486</v>
      </c>
      <c r="L18" s="129">
        <v>9</v>
      </c>
      <c r="M18" s="129">
        <v>15</v>
      </c>
      <c r="N18" s="130">
        <f t="shared" ref="N18" si="11">SUM(L18/M18)*100</f>
        <v>60</v>
      </c>
      <c r="O18" s="7">
        <v>33</v>
      </c>
      <c r="P18" s="7">
        <v>46</v>
      </c>
      <c r="Q18" s="153">
        <v>71.739130434782609</v>
      </c>
      <c r="R18" s="7">
        <v>31</v>
      </c>
      <c r="S18" s="7">
        <v>42</v>
      </c>
      <c r="T18" s="153">
        <v>73.80952380952381</v>
      </c>
      <c r="U18" s="7">
        <v>11</v>
      </c>
      <c r="V18" s="7">
        <v>13</v>
      </c>
      <c r="W18" s="153">
        <v>84.615384615384613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7" t="s">
        <v>15</v>
      </c>
      <c r="AH18" s="148" t="s">
        <v>15</v>
      </c>
      <c r="AI18" s="7" t="s">
        <v>15</v>
      </c>
      <c r="AJ18" s="7" t="s">
        <v>15</v>
      </c>
      <c r="AK18" s="6" t="s">
        <v>15</v>
      </c>
      <c r="AL18" s="152" t="s">
        <v>15</v>
      </c>
      <c r="AM18" s="152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148" t="s">
        <v>15</v>
      </c>
      <c r="AX18" s="7" t="s">
        <v>15</v>
      </c>
      <c r="AY18" s="7" t="s">
        <v>15</v>
      </c>
      <c r="AZ18" s="148" t="s">
        <v>15</v>
      </c>
      <c r="BA18" s="7" t="s">
        <v>15</v>
      </c>
      <c r="BB18" s="7" t="s">
        <v>15</v>
      </c>
    </row>
    <row r="19" spans="1:57" ht="14.95" customHeight="1" thickBot="1" x14ac:dyDescent="0.3">
      <c r="A19" s="121" t="s">
        <v>594</v>
      </c>
      <c r="B19" s="77">
        <v>0</v>
      </c>
      <c r="C19" s="259">
        <v>0</v>
      </c>
      <c r="D19" s="237">
        <v>0</v>
      </c>
      <c r="E19" s="129">
        <f t="shared" si="0"/>
        <v>0</v>
      </c>
      <c r="F19" s="123" t="s">
        <v>594</v>
      </c>
      <c r="G19" s="135">
        <v>0</v>
      </c>
      <c r="H19" s="284">
        <v>0</v>
      </c>
      <c r="I19" s="214">
        <v>0</v>
      </c>
      <c r="J19" s="126">
        <f t="shared" si="1"/>
        <v>0</v>
      </c>
    </row>
    <row r="20" spans="1:57" ht="14.95" customHeight="1" thickBot="1" x14ac:dyDescent="0.3">
      <c r="A20" s="121" t="s">
        <v>271</v>
      </c>
      <c r="B20" s="77">
        <v>0</v>
      </c>
      <c r="C20" s="259">
        <v>0</v>
      </c>
      <c r="D20" s="237">
        <v>0</v>
      </c>
      <c r="E20" s="129">
        <f t="shared" si="0"/>
        <v>0</v>
      </c>
      <c r="F20" s="123" t="s">
        <v>271</v>
      </c>
      <c r="G20" s="135">
        <v>0</v>
      </c>
      <c r="H20" s="284">
        <v>0</v>
      </c>
      <c r="I20" s="214">
        <v>0</v>
      </c>
      <c r="J20" s="126">
        <f t="shared" si="1"/>
        <v>0</v>
      </c>
      <c r="K20" s="532" t="s">
        <v>196</v>
      </c>
      <c r="L20" s="457" t="s">
        <v>14</v>
      </c>
      <c r="M20" s="458"/>
      <c r="N20" s="459"/>
      <c r="O20" s="457" t="s">
        <v>234</v>
      </c>
      <c r="P20" s="458"/>
      <c r="Q20" s="459"/>
      <c r="R20" s="457" t="s">
        <v>903</v>
      </c>
      <c r="S20" s="458"/>
      <c r="T20" s="459"/>
      <c r="U20" s="457" t="s">
        <v>601</v>
      </c>
      <c r="V20" s="458"/>
      <c r="W20" s="459"/>
      <c r="AB20" s="457" t="s">
        <v>494</v>
      </c>
      <c r="AC20" s="458"/>
      <c r="AD20" s="459"/>
      <c r="AE20" s="457" t="s">
        <v>407</v>
      </c>
      <c r="AF20" s="458"/>
      <c r="AG20" s="459"/>
      <c r="AH20" s="457" t="s">
        <v>313</v>
      </c>
      <c r="AI20" s="458"/>
      <c r="AJ20" s="459"/>
      <c r="AK20" s="457" t="s">
        <v>227</v>
      </c>
      <c r="AL20" s="458"/>
      <c r="AM20" s="459"/>
      <c r="AN20" s="457" t="s">
        <v>172</v>
      </c>
      <c r="AO20" s="458"/>
      <c r="AP20" s="459"/>
      <c r="AQ20" s="457" t="s">
        <v>79</v>
      </c>
      <c r="AR20" s="458"/>
      <c r="AS20" s="459"/>
      <c r="AT20" s="457" t="s">
        <v>54</v>
      </c>
      <c r="AU20" s="458"/>
      <c r="AV20" s="459"/>
      <c r="AW20" s="457" t="s">
        <v>50</v>
      </c>
      <c r="AX20" s="458"/>
      <c r="AY20" s="459"/>
      <c r="AZ20" s="457" t="s">
        <v>37</v>
      </c>
      <c r="BA20" s="458"/>
      <c r="BB20" s="459"/>
    </row>
    <row r="21" spans="1:57" ht="14.95" customHeight="1" thickBot="1" x14ac:dyDescent="0.3">
      <c r="A21" s="121" t="s">
        <v>785</v>
      </c>
      <c r="B21" s="77">
        <v>1</v>
      </c>
      <c r="C21" s="259">
        <v>1</v>
      </c>
      <c r="D21" s="237">
        <v>0</v>
      </c>
      <c r="E21" s="129">
        <f t="shared" si="0"/>
        <v>2</v>
      </c>
      <c r="F21" s="123" t="s">
        <v>785</v>
      </c>
      <c r="G21" s="135">
        <v>5</v>
      </c>
      <c r="H21" s="284">
        <v>5</v>
      </c>
      <c r="I21" s="214">
        <v>0</v>
      </c>
      <c r="J21" s="126">
        <f t="shared" si="1"/>
        <v>10</v>
      </c>
      <c r="K21" s="533"/>
      <c r="L21" s="460"/>
      <c r="M21" s="461"/>
      <c r="N21" s="462"/>
      <c r="O21" s="460"/>
      <c r="P21" s="461"/>
      <c r="Q21" s="462"/>
      <c r="R21" s="460"/>
      <c r="S21" s="461"/>
      <c r="T21" s="462"/>
      <c r="U21" s="460"/>
      <c r="V21" s="461"/>
      <c r="W21" s="462"/>
      <c r="AB21" s="460"/>
      <c r="AC21" s="461"/>
      <c r="AD21" s="462"/>
      <c r="AE21" s="460"/>
      <c r="AF21" s="461"/>
      <c r="AG21" s="462"/>
      <c r="AH21" s="460"/>
      <c r="AI21" s="461"/>
      <c r="AJ21" s="462"/>
      <c r="AK21" s="460"/>
      <c r="AL21" s="461"/>
      <c r="AM21" s="462"/>
      <c r="AN21" s="460"/>
      <c r="AO21" s="461"/>
      <c r="AP21" s="462"/>
      <c r="AQ21" s="460"/>
      <c r="AR21" s="461"/>
      <c r="AS21" s="462"/>
      <c r="AT21" s="460"/>
      <c r="AU21" s="461"/>
      <c r="AV21" s="462"/>
      <c r="AW21" s="460"/>
      <c r="AX21" s="461"/>
      <c r="AY21" s="462"/>
      <c r="AZ21" s="460"/>
      <c r="BA21" s="461"/>
      <c r="BB21" s="462"/>
    </row>
    <row r="22" spans="1:57" ht="14.95" customHeight="1" thickBot="1" x14ac:dyDescent="0.3">
      <c r="A22" s="121" t="s">
        <v>960</v>
      </c>
      <c r="B22" s="77">
        <v>0</v>
      </c>
      <c r="C22" s="259">
        <v>0</v>
      </c>
      <c r="D22" s="237">
        <v>0</v>
      </c>
      <c r="E22" s="129">
        <f t="shared" si="0"/>
        <v>0</v>
      </c>
      <c r="F22" s="123" t="s">
        <v>960</v>
      </c>
      <c r="G22" s="135">
        <v>0</v>
      </c>
      <c r="H22" s="284">
        <v>0</v>
      </c>
      <c r="I22" s="214">
        <v>0</v>
      </c>
      <c r="J22" s="126">
        <f t="shared" si="1"/>
        <v>0</v>
      </c>
      <c r="K22" s="246" t="s">
        <v>21</v>
      </c>
      <c r="L22" s="7" t="s">
        <v>46</v>
      </c>
      <c r="M22" s="7" t="s">
        <v>9</v>
      </c>
      <c r="N22" s="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7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</row>
    <row r="23" spans="1:57" ht="14.95" customHeight="1" thickBot="1" x14ac:dyDescent="0.3">
      <c r="A23" s="121" t="s">
        <v>512</v>
      </c>
      <c r="B23" s="77">
        <v>0</v>
      </c>
      <c r="C23" s="259">
        <v>0</v>
      </c>
      <c r="D23" s="237">
        <v>0</v>
      </c>
      <c r="E23" s="129">
        <f t="shared" ref="E23" si="12">SUM(B23:D23)</f>
        <v>0</v>
      </c>
      <c r="F23" s="123" t="s">
        <v>512</v>
      </c>
      <c r="G23" s="135">
        <v>0</v>
      </c>
      <c r="H23" s="284">
        <v>0</v>
      </c>
      <c r="I23" s="214">
        <v>0</v>
      </c>
      <c r="J23" s="126">
        <f t="shared" ref="J23" si="13">SUM(G23:I23)</f>
        <v>0</v>
      </c>
      <c r="K23" s="121" t="s">
        <v>69</v>
      </c>
      <c r="L23" s="6" t="s">
        <v>15</v>
      </c>
      <c r="M23" s="152" t="s">
        <v>15</v>
      </c>
      <c r="N23" s="151" t="s">
        <v>15</v>
      </c>
      <c r="O23" s="6" t="s">
        <v>15</v>
      </c>
      <c r="P23" s="152" t="s">
        <v>15</v>
      </c>
      <c r="Q23" s="151" t="s">
        <v>15</v>
      </c>
      <c r="R23" s="6" t="s">
        <v>15</v>
      </c>
      <c r="S23" s="152" t="s">
        <v>15</v>
      </c>
      <c r="T23" s="151" t="s">
        <v>15</v>
      </c>
      <c r="U23" s="6" t="s">
        <v>15</v>
      </c>
      <c r="V23" s="152" t="s">
        <v>15</v>
      </c>
      <c r="W23" s="151" t="s">
        <v>15</v>
      </c>
      <c r="AB23" s="6">
        <v>1</v>
      </c>
      <c r="AC23" s="152">
        <v>1</v>
      </c>
      <c r="AD23" s="151">
        <f t="shared" ref="AD23" si="14">SUM(AB23/AC23)*100</f>
        <v>100</v>
      </c>
      <c r="AE23" s="6" t="s">
        <v>15</v>
      </c>
      <c r="AF23" s="152" t="s">
        <v>15</v>
      </c>
      <c r="AG23" s="152" t="s">
        <v>15</v>
      </c>
      <c r="AH23" s="6" t="s">
        <v>15</v>
      </c>
      <c r="AI23" s="152" t="s">
        <v>15</v>
      </c>
      <c r="AJ23" s="152" t="s">
        <v>15</v>
      </c>
      <c r="AK23" s="6" t="s">
        <v>15</v>
      </c>
      <c r="AL23" s="152" t="s">
        <v>15</v>
      </c>
      <c r="AM23" s="152" t="s">
        <v>15</v>
      </c>
      <c r="AN23" s="6" t="s">
        <v>15</v>
      </c>
      <c r="AO23" s="152" t="s">
        <v>15</v>
      </c>
      <c r="AP23" s="152" t="s">
        <v>15</v>
      </c>
      <c r="AQ23" s="6" t="s">
        <v>15</v>
      </c>
      <c r="AR23" s="152" t="s">
        <v>15</v>
      </c>
      <c r="AS23" s="152" t="s">
        <v>15</v>
      </c>
      <c r="AT23" s="6" t="s">
        <v>15</v>
      </c>
      <c r="AU23" s="152" t="s">
        <v>15</v>
      </c>
      <c r="AV23" s="152" t="s">
        <v>15</v>
      </c>
      <c r="AW23" s="6" t="s">
        <v>15</v>
      </c>
      <c r="AX23" s="152" t="s">
        <v>15</v>
      </c>
      <c r="AY23" s="152" t="s">
        <v>15</v>
      </c>
      <c r="AZ23" s="6" t="s">
        <v>15</v>
      </c>
      <c r="BA23" s="152" t="s">
        <v>15</v>
      </c>
      <c r="BB23" s="152" t="s">
        <v>15</v>
      </c>
    </row>
    <row r="24" spans="1:57" ht="14.95" customHeight="1" thickBot="1" x14ac:dyDescent="0.3">
      <c r="A24" s="121" t="s">
        <v>363</v>
      </c>
      <c r="B24" s="77">
        <v>3</v>
      </c>
      <c r="C24" s="259">
        <v>0</v>
      </c>
      <c r="D24" s="237">
        <v>0</v>
      </c>
      <c r="E24" s="129">
        <f t="shared" si="0"/>
        <v>3</v>
      </c>
      <c r="F24" s="123" t="s">
        <v>363</v>
      </c>
      <c r="G24" s="135">
        <v>15</v>
      </c>
      <c r="H24" s="284">
        <v>0</v>
      </c>
      <c r="I24" s="214">
        <v>0</v>
      </c>
      <c r="J24" s="126">
        <f t="shared" si="1"/>
        <v>15</v>
      </c>
      <c r="K24" s="221" t="s">
        <v>43</v>
      </c>
      <c r="L24" s="6" t="s">
        <v>15</v>
      </c>
      <c r="M24" s="152" t="s">
        <v>15</v>
      </c>
      <c r="N24" s="151" t="s">
        <v>15</v>
      </c>
      <c r="O24" s="6" t="s">
        <v>15</v>
      </c>
      <c r="P24" s="152" t="s">
        <v>15</v>
      </c>
      <c r="Q24" s="151" t="s">
        <v>15</v>
      </c>
      <c r="R24" s="6" t="s">
        <v>15</v>
      </c>
      <c r="S24" s="152" t="s">
        <v>15</v>
      </c>
      <c r="T24" s="151" t="s">
        <v>15</v>
      </c>
      <c r="U24" s="6" t="s">
        <v>15</v>
      </c>
      <c r="V24" s="152" t="s">
        <v>15</v>
      </c>
      <c r="W24" s="151" t="s">
        <v>15</v>
      </c>
      <c r="AB24" s="6" t="s">
        <v>15</v>
      </c>
      <c r="AC24" s="152" t="s">
        <v>15</v>
      </c>
      <c r="AD24" s="151" t="s">
        <v>15</v>
      </c>
      <c r="AE24" s="6" t="s">
        <v>15</v>
      </c>
      <c r="AF24" s="152" t="s">
        <v>15</v>
      </c>
      <c r="AG24" s="152" t="s">
        <v>15</v>
      </c>
      <c r="AH24" s="6" t="s">
        <v>15</v>
      </c>
      <c r="AI24" s="152" t="s">
        <v>15</v>
      </c>
      <c r="AJ24" s="152" t="s">
        <v>15</v>
      </c>
      <c r="AK24" s="6">
        <v>7</v>
      </c>
      <c r="AL24" s="7">
        <v>7</v>
      </c>
      <c r="AM24" s="153">
        <f>SUM(AK24/AL24)*100</f>
        <v>100</v>
      </c>
      <c r="AN24" s="6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7" ht="14.95" customHeight="1" thickBot="1" x14ac:dyDescent="0.3">
      <c r="A25" s="121" t="s">
        <v>452</v>
      </c>
      <c r="B25" s="77">
        <v>0</v>
      </c>
      <c r="C25" s="259">
        <v>0</v>
      </c>
      <c r="D25" s="237">
        <v>0</v>
      </c>
      <c r="E25" s="129">
        <f t="shared" si="0"/>
        <v>0</v>
      </c>
      <c r="F25" s="123" t="s">
        <v>452</v>
      </c>
      <c r="G25" s="135">
        <v>0</v>
      </c>
      <c r="H25" s="284">
        <v>0</v>
      </c>
      <c r="I25" s="214">
        <v>0</v>
      </c>
      <c r="J25" s="126">
        <f t="shared" si="1"/>
        <v>0</v>
      </c>
      <c r="K25" s="304" t="s">
        <v>573</v>
      </c>
      <c r="L25" s="6" t="s">
        <v>15</v>
      </c>
      <c r="M25" s="152" t="s">
        <v>15</v>
      </c>
      <c r="N25" s="151" t="s">
        <v>15</v>
      </c>
      <c r="O25" s="6" t="s">
        <v>15</v>
      </c>
      <c r="P25" s="152" t="s">
        <v>15</v>
      </c>
      <c r="Q25" s="151" t="s">
        <v>15</v>
      </c>
      <c r="R25" s="6" t="s">
        <v>15</v>
      </c>
      <c r="S25" s="152" t="s">
        <v>15</v>
      </c>
      <c r="T25" s="151" t="s">
        <v>15</v>
      </c>
      <c r="U25" s="6" t="s">
        <v>15</v>
      </c>
      <c r="V25" s="152" t="s">
        <v>15</v>
      </c>
      <c r="W25" s="151" t="s">
        <v>15</v>
      </c>
      <c r="AB25" s="148">
        <v>3</v>
      </c>
      <c r="AC25" s="7">
        <v>4</v>
      </c>
      <c r="AD25" s="153">
        <v>75</v>
      </c>
      <c r="AE25" s="6" t="s">
        <v>15</v>
      </c>
      <c r="AF25" s="152" t="s">
        <v>15</v>
      </c>
      <c r="AG25" s="152" t="s">
        <v>15</v>
      </c>
      <c r="AH25" s="6" t="s">
        <v>15</v>
      </c>
      <c r="AI25" s="152" t="s">
        <v>15</v>
      </c>
      <c r="AJ25" s="152" t="s">
        <v>15</v>
      </c>
      <c r="AK25" s="6" t="s">
        <v>15</v>
      </c>
      <c r="AL25" s="152" t="s">
        <v>15</v>
      </c>
      <c r="AM25" s="152" t="s">
        <v>15</v>
      </c>
      <c r="AN25" s="6" t="s">
        <v>15</v>
      </c>
      <c r="AO25" s="152" t="s">
        <v>15</v>
      </c>
      <c r="AP25" s="152" t="s">
        <v>15</v>
      </c>
      <c r="AQ25" s="6" t="s">
        <v>15</v>
      </c>
      <c r="AR25" s="152" t="s">
        <v>15</v>
      </c>
      <c r="AS25" s="152" t="s">
        <v>15</v>
      </c>
      <c r="AT25" s="6" t="s">
        <v>15</v>
      </c>
      <c r="AU25" s="152" t="s">
        <v>15</v>
      </c>
      <c r="AV25" s="152" t="s">
        <v>15</v>
      </c>
      <c r="AW25" s="6" t="s">
        <v>15</v>
      </c>
      <c r="AX25" s="152" t="s">
        <v>15</v>
      </c>
      <c r="AY25" s="152" t="s">
        <v>15</v>
      </c>
      <c r="AZ25" s="6" t="s">
        <v>15</v>
      </c>
      <c r="BA25" s="152" t="s">
        <v>15</v>
      </c>
      <c r="BB25" s="152" t="s">
        <v>15</v>
      </c>
      <c r="BC25" s="36"/>
      <c r="BD25" s="36"/>
      <c r="BE25" s="36"/>
    </row>
    <row r="26" spans="1:57" ht="14.95" customHeight="1" thickBot="1" x14ac:dyDescent="0.3">
      <c r="A26" s="121" t="s">
        <v>282</v>
      </c>
      <c r="B26" s="77">
        <v>0</v>
      </c>
      <c r="C26" s="259">
        <v>0</v>
      </c>
      <c r="D26" s="237">
        <v>0</v>
      </c>
      <c r="E26" s="129">
        <f t="shared" si="0"/>
        <v>0</v>
      </c>
      <c r="F26" s="123" t="s">
        <v>282</v>
      </c>
      <c r="G26" s="135">
        <v>0</v>
      </c>
      <c r="H26" s="284">
        <v>0</v>
      </c>
      <c r="I26" s="214">
        <v>0</v>
      </c>
      <c r="J26" s="126">
        <f t="shared" si="1"/>
        <v>0</v>
      </c>
      <c r="K26" s="304" t="s">
        <v>486</v>
      </c>
      <c r="L26" s="6" t="s">
        <v>15</v>
      </c>
      <c r="M26" s="152" t="s">
        <v>15</v>
      </c>
      <c r="N26" s="151" t="s">
        <v>15</v>
      </c>
      <c r="O26" s="6" t="s">
        <v>15</v>
      </c>
      <c r="P26" s="152" t="s">
        <v>15</v>
      </c>
      <c r="Q26" s="151" t="s">
        <v>15</v>
      </c>
      <c r="R26" s="6" t="s">
        <v>15</v>
      </c>
      <c r="S26" s="152" t="s">
        <v>15</v>
      </c>
      <c r="T26" s="151" t="s">
        <v>15</v>
      </c>
      <c r="U26" s="6" t="s">
        <v>15</v>
      </c>
      <c r="V26" s="152" t="s">
        <v>15</v>
      </c>
      <c r="W26" s="151" t="s">
        <v>15</v>
      </c>
      <c r="AB26" s="148">
        <v>9</v>
      </c>
      <c r="AC26" s="7">
        <v>14</v>
      </c>
      <c r="AD26" s="153">
        <v>64.285714285714292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6" t="s">
        <v>15</v>
      </c>
      <c r="AL26" s="152" t="s">
        <v>15</v>
      </c>
      <c r="AM26" s="152" t="s">
        <v>15</v>
      </c>
      <c r="AN26" s="148" t="s">
        <v>15</v>
      </c>
      <c r="AO26" s="7" t="s">
        <v>15</v>
      </c>
      <c r="AP26" s="7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148" t="s">
        <v>15</v>
      </c>
      <c r="AX26" s="7" t="s">
        <v>15</v>
      </c>
      <c r="AY26" s="7" t="s">
        <v>15</v>
      </c>
      <c r="AZ26" s="148" t="s">
        <v>15</v>
      </c>
      <c r="BA26" s="7" t="s">
        <v>15</v>
      </c>
      <c r="BB26" s="7" t="s">
        <v>15</v>
      </c>
    </row>
    <row r="27" spans="1:57" ht="14.95" customHeight="1" thickBot="1" x14ac:dyDescent="0.3">
      <c r="A27" s="121" t="s">
        <v>513</v>
      </c>
      <c r="B27" s="77">
        <v>2</v>
      </c>
      <c r="C27" s="259">
        <v>0</v>
      </c>
      <c r="D27" s="237">
        <v>0</v>
      </c>
      <c r="E27" s="129">
        <f t="shared" si="0"/>
        <v>2</v>
      </c>
      <c r="F27" s="123" t="s">
        <v>513</v>
      </c>
      <c r="G27" s="135">
        <v>10</v>
      </c>
      <c r="H27" s="284">
        <v>0</v>
      </c>
      <c r="I27" s="214">
        <v>0</v>
      </c>
      <c r="J27" s="126">
        <f t="shared" si="1"/>
        <v>10</v>
      </c>
      <c r="K27" s="102"/>
      <c r="L27" s="94"/>
      <c r="M27" s="94"/>
      <c r="N27" s="94"/>
      <c r="AE27" s="36"/>
    </row>
    <row r="28" spans="1:57" ht="14.95" customHeight="1" thickBot="1" x14ac:dyDescent="0.3">
      <c r="A28" s="121" t="s">
        <v>71</v>
      </c>
      <c r="B28" s="77">
        <v>2</v>
      </c>
      <c r="C28" s="259">
        <v>1</v>
      </c>
      <c r="D28" s="237">
        <v>0</v>
      </c>
      <c r="E28" s="129">
        <f t="shared" si="0"/>
        <v>3</v>
      </c>
      <c r="F28" s="123" t="s">
        <v>71</v>
      </c>
      <c r="G28" s="135">
        <v>10</v>
      </c>
      <c r="H28" s="284">
        <v>5</v>
      </c>
      <c r="I28" s="214">
        <v>0</v>
      </c>
      <c r="J28" s="126">
        <f t="shared" si="1"/>
        <v>15</v>
      </c>
      <c r="K28" s="479" t="s">
        <v>1032</v>
      </c>
      <c r="L28" s="512" t="s">
        <v>14</v>
      </c>
      <c r="M28" s="513"/>
      <c r="N28" s="514"/>
      <c r="O28" s="457" t="s">
        <v>234</v>
      </c>
      <c r="P28" s="458"/>
      <c r="Q28" s="459"/>
      <c r="R28" s="457" t="s">
        <v>903</v>
      </c>
      <c r="S28" s="458"/>
      <c r="T28" s="459"/>
      <c r="U28" s="457" t="s">
        <v>601</v>
      </c>
      <c r="V28" s="458"/>
      <c r="W28" s="459"/>
      <c r="AB28" s="457" t="s">
        <v>494</v>
      </c>
      <c r="AC28" s="458"/>
      <c r="AD28" s="459"/>
      <c r="AE28" s="457" t="s">
        <v>313</v>
      </c>
      <c r="AF28" s="458"/>
      <c r="AG28" s="459"/>
      <c r="AH28" s="457" t="s">
        <v>227</v>
      </c>
      <c r="AI28" s="458"/>
      <c r="AJ28" s="459"/>
      <c r="AK28" s="457" t="s">
        <v>172</v>
      </c>
      <c r="AL28" s="458"/>
      <c r="AM28" s="459"/>
      <c r="AN28" s="457" t="s">
        <v>79</v>
      </c>
      <c r="AO28" s="458"/>
      <c r="AP28" s="459"/>
      <c r="AQ28" s="457" t="s">
        <v>50</v>
      </c>
      <c r="AR28" s="458"/>
      <c r="AS28" s="459"/>
      <c r="AT28" s="457" t="s">
        <v>37</v>
      </c>
      <c r="AU28" s="458"/>
      <c r="AV28" s="459"/>
    </row>
    <row r="29" spans="1:57" ht="14.95" customHeight="1" thickBot="1" x14ac:dyDescent="0.3">
      <c r="A29" s="121" t="s">
        <v>514</v>
      </c>
      <c r="B29" s="77">
        <v>0</v>
      </c>
      <c r="C29" s="259">
        <v>0</v>
      </c>
      <c r="D29" s="237">
        <v>0</v>
      </c>
      <c r="E29" s="129">
        <f t="shared" si="0"/>
        <v>0</v>
      </c>
      <c r="F29" s="123" t="s">
        <v>514</v>
      </c>
      <c r="G29" s="135">
        <v>0</v>
      </c>
      <c r="H29" s="284">
        <v>0</v>
      </c>
      <c r="I29" s="214">
        <v>0</v>
      </c>
      <c r="J29" s="126">
        <f t="shared" si="1"/>
        <v>0</v>
      </c>
      <c r="K29" s="480"/>
      <c r="L29" s="515"/>
      <c r="M29" s="516"/>
      <c r="N29" s="517"/>
      <c r="O29" s="460"/>
      <c r="P29" s="461"/>
      <c r="Q29" s="462"/>
      <c r="R29" s="460"/>
      <c r="S29" s="461"/>
      <c r="T29" s="462"/>
      <c r="U29" s="460"/>
      <c r="V29" s="461"/>
      <c r="W29" s="462"/>
      <c r="AB29" s="460"/>
      <c r="AC29" s="461"/>
      <c r="AD29" s="462"/>
      <c r="AE29" s="460"/>
      <c r="AF29" s="461"/>
      <c r="AG29" s="462"/>
      <c r="AH29" s="460"/>
      <c r="AI29" s="461"/>
      <c r="AJ29" s="462"/>
      <c r="AK29" s="460"/>
      <c r="AL29" s="461"/>
      <c r="AM29" s="462"/>
      <c r="AN29" s="460"/>
      <c r="AO29" s="461"/>
      <c r="AP29" s="462"/>
      <c r="AQ29" s="460"/>
      <c r="AR29" s="461"/>
      <c r="AS29" s="462"/>
      <c r="AT29" s="460"/>
      <c r="AU29" s="461"/>
      <c r="AV29" s="462"/>
    </row>
    <row r="30" spans="1:57" ht="14.95" customHeight="1" thickBot="1" x14ac:dyDescent="0.3">
      <c r="A30" s="121" t="s">
        <v>872</v>
      </c>
      <c r="B30" s="77">
        <v>0</v>
      </c>
      <c r="C30" s="259">
        <v>0</v>
      </c>
      <c r="D30" s="237">
        <v>0</v>
      </c>
      <c r="E30" s="129">
        <f t="shared" si="0"/>
        <v>0</v>
      </c>
      <c r="F30" s="123" t="s">
        <v>872</v>
      </c>
      <c r="G30" s="135">
        <v>0</v>
      </c>
      <c r="H30" s="284">
        <v>0</v>
      </c>
      <c r="I30" s="214">
        <v>0</v>
      </c>
      <c r="J30" s="126">
        <f t="shared" si="1"/>
        <v>0</v>
      </c>
      <c r="K30" s="416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7" ht="14.95" customHeight="1" thickBot="1" x14ac:dyDescent="0.3">
      <c r="A31" s="121" t="s">
        <v>1052</v>
      </c>
      <c r="B31" s="77">
        <v>0</v>
      </c>
      <c r="C31" s="259">
        <v>0</v>
      </c>
      <c r="D31" s="237">
        <v>1</v>
      </c>
      <c r="E31" s="129">
        <f t="shared" si="0"/>
        <v>1</v>
      </c>
      <c r="F31" s="123" t="s">
        <v>1052</v>
      </c>
      <c r="G31" s="135">
        <v>0</v>
      </c>
      <c r="H31" s="284">
        <v>0</v>
      </c>
      <c r="I31" s="214">
        <v>7</v>
      </c>
      <c r="J31" s="126">
        <f t="shared" si="1"/>
        <v>7</v>
      </c>
      <c r="K31" s="131" t="s">
        <v>969</v>
      </c>
      <c r="L31" s="129">
        <v>12</v>
      </c>
      <c r="M31" s="129">
        <v>13</v>
      </c>
      <c r="N31" s="130">
        <f t="shared" ref="N31:N34" si="15">SUM(L31/M31)*100</f>
        <v>92.307692307692307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</row>
    <row r="32" spans="1:57" ht="14.95" customHeight="1" thickBot="1" x14ac:dyDescent="0.3">
      <c r="A32" s="121" t="s">
        <v>381</v>
      </c>
      <c r="B32" s="77">
        <v>6</v>
      </c>
      <c r="C32" s="259">
        <v>0</v>
      </c>
      <c r="D32" s="237">
        <v>0</v>
      </c>
      <c r="E32" s="129">
        <f t="shared" si="0"/>
        <v>6</v>
      </c>
      <c r="F32" s="123" t="s">
        <v>381</v>
      </c>
      <c r="G32" s="135">
        <v>30</v>
      </c>
      <c r="H32" s="284">
        <v>0</v>
      </c>
      <c r="I32" s="214">
        <v>0</v>
      </c>
      <c r="J32" s="126">
        <f t="shared" si="1"/>
        <v>30</v>
      </c>
      <c r="K32" s="131" t="s">
        <v>43</v>
      </c>
      <c r="L32" s="129" t="s">
        <v>15</v>
      </c>
      <c r="M32" s="129" t="s">
        <v>15</v>
      </c>
      <c r="N32" s="130" t="s">
        <v>15</v>
      </c>
      <c r="O32" s="7">
        <v>3</v>
      </c>
      <c r="P32" s="7">
        <v>4</v>
      </c>
      <c r="Q32" s="153">
        <v>75</v>
      </c>
      <c r="R32" s="7">
        <v>2</v>
      </c>
      <c r="S32" s="7">
        <v>3</v>
      </c>
      <c r="T32" s="153">
        <v>66.666666666666657</v>
      </c>
      <c r="U32" s="7" t="s">
        <v>15</v>
      </c>
      <c r="V32" s="7" t="s">
        <v>15</v>
      </c>
      <c r="W32" s="153" t="s">
        <v>15</v>
      </c>
      <c r="AB32" s="148" t="s">
        <v>15</v>
      </c>
      <c r="AC32" s="7" t="s">
        <v>15</v>
      </c>
      <c r="AD32" s="153" t="s">
        <v>15</v>
      </c>
      <c r="AE32" s="6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4" ht="14.95" customHeight="1" thickBot="1" x14ac:dyDescent="0.3">
      <c r="A33" s="121" t="s">
        <v>4</v>
      </c>
      <c r="B33" s="77">
        <v>0</v>
      </c>
      <c r="C33" s="259">
        <v>0</v>
      </c>
      <c r="D33" s="237">
        <v>0</v>
      </c>
      <c r="E33" s="129">
        <f t="shared" si="0"/>
        <v>0</v>
      </c>
      <c r="F33" s="123" t="s">
        <v>4</v>
      </c>
      <c r="G33" s="135">
        <v>0</v>
      </c>
      <c r="H33" s="284">
        <v>0</v>
      </c>
      <c r="I33" s="214">
        <v>0</v>
      </c>
      <c r="J33" s="126">
        <f t="shared" si="1"/>
        <v>0</v>
      </c>
      <c r="K33" s="131" t="s">
        <v>69</v>
      </c>
      <c r="L33" s="129">
        <v>1</v>
      </c>
      <c r="M33" s="129">
        <v>2</v>
      </c>
      <c r="N33" s="130">
        <f t="shared" si="15"/>
        <v>50</v>
      </c>
      <c r="O33" s="7" t="s">
        <v>15</v>
      </c>
      <c r="P33" s="7" t="s">
        <v>15</v>
      </c>
      <c r="Q33" s="153" t="s">
        <v>15</v>
      </c>
      <c r="R33" s="7">
        <v>4</v>
      </c>
      <c r="S33" s="7">
        <v>4</v>
      </c>
      <c r="T33" s="153">
        <v>100</v>
      </c>
      <c r="U33" s="7" t="s">
        <v>15</v>
      </c>
      <c r="V33" s="7" t="s">
        <v>15</v>
      </c>
      <c r="W33" s="153" t="s">
        <v>15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148">
        <v>1</v>
      </c>
      <c r="AI33" s="7">
        <v>1</v>
      </c>
      <c r="AJ33" s="153">
        <f t="shared" ref="AJ33" si="16">SUM(AH33/AI33)*100</f>
        <v>100</v>
      </c>
      <c r="AK33" s="148" t="s">
        <v>15</v>
      </c>
      <c r="AL33" s="7" t="s">
        <v>15</v>
      </c>
      <c r="AM33" s="7" t="s">
        <v>15</v>
      </c>
      <c r="AN33" s="148" t="s">
        <v>15</v>
      </c>
      <c r="AO33" s="7" t="s">
        <v>15</v>
      </c>
      <c r="AP33" s="7" t="s">
        <v>15</v>
      </c>
      <c r="AQ33" s="148" t="s">
        <v>15</v>
      </c>
      <c r="AR33" s="7" t="s">
        <v>15</v>
      </c>
      <c r="AS33" s="7" t="s">
        <v>15</v>
      </c>
      <c r="AT33" s="148" t="s">
        <v>15</v>
      </c>
      <c r="AU33" s="7" t="s">
        <v>15</v>
      </c>
      <c r="AV33" s="7" t="s">
        <v>15</v>
      </c>
    </row>
    <row r="34" spans="1:54" ht="14.95" customHeight="1" thickBot="1" x14ac:dyDescent="0.3">
      <c r="A34" s="121" t="s">
        <v>447</v>
      </c>
      <c r="B34" s="77">
        <v>3</v>
      </c>
      <c r="C34" s="259">
        <v>3</v>
      </c>
      <c r="D34" s="237">
        <v>0</v>
      </c>
      <c r="E34" s="129">
        <f t="shared" si="0"/>
        <v>6</v>
      </c>
      <c r="F34" s="123" t="s">
        <v>447</v>
      </c>
      <c r="G34" s="135">
        <v>15</v>
      </c>
      <c r="H34" s="284">
        <v>15</v>
      </c>
      <c r="I34" s="214">
        <v>0</v>
      </c>
      <c r="J34" s="126">
        <f t="shared" si="1"/>
        <v>30</v>
      </c>
      <c r="K34" s="443" t="s">
        <v>1052</v>
      </c>
      <c r="L34" s="129">
        <v>1</v>
      </c>
      <c r="M34" s="129">
        <v>1</v>
      </c>
      <c r="N34" s="130">
        <f t="shared" si="15"/>
        <v>100</v>
      </c>
      <c r="O34" s="7"/>
      <c r="P34" s="7"/>
      <c r="Q34" s="153"/>
      <c r="R34" s="7"/>
      <c r="S34" s="7"/>
      <c r="T34" s="153"/>
      <c r="U34" s="7"/>
      <c r="V34" s="7"/>
      <c r="W34" s="153"/>
      <c r="AB34" s="148"/>
      <c r="AC34" s="7"/>
      <c r="AD34" s="153"/>
      <c r="AE34" s="148"/>
      <c r="AF34" s="7"/>
      <c r="AG34" s="153"/>
      <c r="AH34" s="148"/>
      <c r="AI34" s="7"/>
      <c r="AJ34" s="153"/>
      <c r="AK34" s="148"/>
      <c r="AL34" s="7"/>
      <c r="AM34" s="7"/>
      <c r="AN34" s="148"/>
      <c r="AO34" s="7"/>
      <c r="AP34" s="7"/>
      <c r="AQ34" s="148"/>
      <c r="AR34" s="7"/>
      <c r="AS34" s="7"/>
      <c r="AT34" s="148"/>
      <c r="AU34" s="7"/>
      <c r="AV34" s="7"/>
    </row>
    <row r="35" spans="1:54" ht="14.95" customHeight="1" thickBot="1" x14ac:dyDescent="0.3">
      <c r="A35" s="121" t="s">
        <v>968</v>
      </c>
      <c r="B35" s="77">
        <v>0</v>
      </c>
      <c r="C35" s="259">
        <v>0</v>
      </c>
      <c r="D35" s="237">
        <v>0</v>
      </c>
      <c r="E35" s="129">
        <f t="shared" si="0"/>
        <v>0</v>
      </c>
      <c r="F35" s="123" t="s">
        <v>968</v>
      </c>
      <c r="G35" s="135">
        <v>0</v>
      </c>
      <c r="H35" s="284">
        <v>0</v>
      </c>
      <c r="I35" s="214">
        <v>0</v>
      </c>
      <c r="J35" s="126">
        <f t="shared" si="1"/>
        <v>0</v>
      </c>
      <c r="K35" s="304" t="s">
        <v>486</v>
      </c>
      <c r="L35" s="129" t="s">
        <v>15</v>
      </c>
      <c r="M35" s="129" t="s">
        <v>15</v>
      </c>
      <c r="N35" s="130" t="s">
        <v>15</v>
      </c>
      <c r="O35" s="7" t="s">
        <v>15</v>
      </c>
      <c r="P35" s="7" t="s">
        <v>15</v>
      </c>
      <c r="Q35" s="153" t="s">
        <v>15</v>
      </c>
      <c r="R35" s="7">
        <v>13</v>
      </c>
      <c r="S35" s="7">
        <v>18</v>
      </c>
      <c r="T35" s="153">
        <v>72.222222222222214</v>
      </c>
      <c r="U35" s="7" t="s">
        <v>15</v>
      </c>
      <c r="V35" s="7" t="s">
        <v>15</v>
      </c>
      <c r="W35" s="153" t="s">
        <v>15</v>
      </c>
      <c r="AB35" s="148">
        <v>2</v>
      </c>
      <c r="AC35" s="7">
        <v>4</v>
      </c>
      <c r="AD35" s="153">
        <v>50</v>
      </c>
      <c r="AE35" s="148" t="s">
        <v>15</v>
      </c>
      <c r="AF35" s="7" t="s">
        <v>15</v>
      </c>
      <c r="AG35" s="7" t="s">
        <v>15</v>
      </c>
      <c r="AH35" s="148" t="s">
        <v>15</v>
      </c>
      <c r="AI35" s="7" t="s">
        <v>15</v>
      </c>
      <c r="AJ35" s="7" t="s">
        <v>15</v>
      </c>
      <c r="AK35" s="6" t="s">
        <v>15</v>
      </c>
      <c r="AL35" s="152" t="s">
        <v>15</v>
      </c>
      <c r="AM35" s="152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6" t="s">
        <v>15</v>
      </c>
      <c r="AW35" s="86"/>
      <c r="AX35" s="86"/>
      <c r="AY35" s="86"/>
      <c r="AZ35" s="86"/>
      <c r="BA35" s="86"/>
      <c r="BB35" s="86"/>
    </row>
    <row r="36" spans="1:54" ht="14.95" customHeight="1" thickBot="1" x14ac:dyDescent="0.3">
      <c r="A36" s="121" t="s">
        <v>435</v>
      </c>
      <c r="B36" s="77">
        <v>0</v>
      </c>
      <c r="C36" s="259">
        <v>2</v>
      </c>
      <c r="D36" s="237">
        <v>2</v>
      </c>
      <c r="E36" s="129">
        <f t="shared" si="0"/>
        <v>4</v>
      </c>
      <c r="F36" s="123" t="s">
        <v>435</v>
      </c>
      <c r="G36" s="135">
        <v>0</v>
      </c>
      <c r="H36" s="284">
        <v>10</v>
      </c>
      <c r="I36" s="214">
        <v>10</v>
      </c>
      <c r="J36" s="126">
        <f t="shared" si="1"/>
        <v>20</v>
      </c>
      <c r="K36" s="552" t="s">
        <v>970</v>
      </c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</row>
    <row r="37" spans="1:54" ht="14.95" customHeight="1" thickBot="1" x14ac:dyDescent="0.3">
      <c r="A37" s="121" t="s">
        <v>1053</v>
      </c>
      <c r="B37" s="77">
        <v>0</v>
      </c>
      <c r="C37" s="259">
        <v>0</v>
      </c>
      <c r="D37" s="237">
        <v>1</v>
      </c>
      <c r="E37" s="129">
        <f t="shared" si="0"/>
        <v>1</v>
      </c>
      <c r="F37" s="123" t="s">
        <v>1053</v>
      </c>
      <c r="G37" s="135">
        <v>0</v>
      </c>
      <c r="H37" s="284">
        <v>0</v>
      </c>
      <c r="I37" s="214">
        <v>5</v>
      </c>
      <c r="J37" s="126">
        <f t="shared" si="1"/>
        <v>5</v>
      </c>
      <c r="K37" s="496" t="s">
        <v>971</v>
      </c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</row>
    <row r="38" spans="1:54" ht="14.95" customHeight="1" thickBot="1" x14ac:dyDescent="0.3">
      <c r="A38" s="121" t="s">
        <v>1076</v>
      </c>
      <c r="B38" s="77">
        <v>0</v>
      </c>
      <c r="C38" s="259">
        <v>0</v>
      </c>
      <c r="D38" s="237">
        <v>1</v>
      </c>
      <c r="E38" s="129">
        <f t="shared" si="0"/>
        <v>1</v>
      </c>
      <c r="F38" s="123" t="s">
        <v>1076</v>
      </c>
      <c r="G38" s="135">
        <v>0</v>
      </c>
      <c r="H38" s="284">
        <v>0</v>
      </c>
      <c r="I38" s="214">
        <v>5</v>
      </c>
      <c r="J38" s="126">
        <f t="shared" si="1"/>
        <v>5</v>
      </c>
      <c r="K38" s="477"/>
      <c r="L38" s="478"/>
      <c r="M38" s="478"/>
      <c r="N38" s="478"/>
      <c r="O38" s="478"/>
      <c r="P38" s="478"/>
      <c r="Q38" s="478"/>
      <c r="R38" s="478"/>
    </row>
    <row r="39" spans="1:54" ht="14.95" customHeight="1" thickBot="1" x14ac:dyDescent="0.3">
      <c r="A39" s="121" t="s">
        <v>545</v>
      </c>
      <c r="B39" s="77">
        <v>0</v>
      </c>
      <c r="C39" s="259">
        <v>3</v>
      </c>
      <c r="D39" s="237">
        <v>1</v>
      </c>
      <c r="E39" s="129">
        <f t="shared" si="0"/>
        <v>4</v>
      </c>
      <c r="F39" s="123" t="s">
        <v>545</v>
      </c>
      <c r="G39" s="135">
        <v>0</v>
      </c>
      <c r="H39" s="284">
        <v>15</v>
      </c>
      <c r="I39" s="214">
        <v>5</v>
      </c>
      <c r="J39" s="126">
        <f t="shared" si="1"/>
        <v>20</v>
      </c>
    </row>
    <row r="40" spans="1:54" ht="14.95" customHeight="1" thickBot="1" x14ac:dyDescent="0.3">
      <c r="A40" s="121" t="s">
        <v>296</v>
      </c>
      <c r="B40" s="77">
        <v>2</v>
      </c>
      <c r="C40" s="259">
        <v>0</v>
      </c>
      <c r="D40" s="237">
        <v>0</v>
      </c>
      <c r="E40" s="129">
        <f t="shared" si="0"/>
        <v>2</v>
      </c>
      <c r="F40" s="123" t="s">
        <v>296</v>
      </c>
      <c r="G40" s="135">
        <v>66</v>
      </c>
      <c r="H40" s="284">
        <v>20</v>
      </c>
      <c r="I40" s="214">
        <v>0</v>
      </c>
      <c r="J40" s="126">
        <f t="shared" si="1"/>
        <v>86</v>
      </c>
    </row>
    <row r="41" spans="1:54" ht="14.95" customHeight="1" thickBot="1" x14ac:dyDescent="0.3">
      <c r="A41" s="121" t="s">
        <v>393</v>
      </c>
      <c r="B41" s="77">
        <v>0</v>
      </c>
      <c r="C41" s="259">
        <v>0</v>
      </c>
      <c r="D41" s="237">
        <v>0</v>
      </c>
      <c r="E41" s="129">
        <f t="shared" si="0"/>
        <v>0</v>
      </c>
      <c r="F41" s="123" t="s">
        <v>393</v>
      </c>
      <c r="G41" s="135">
        <v>0</v>
      </c>
      <c r="H41" s="284">
        <v>0</v>
      </c>
      <c r="I41" s="214">
        <v>0</v>
      </c>
      <c r="J41" s="126">
        <f t="shared" si="1"/>
        <v>0</v>
      </c>
    </row>
    <row r="42" spans="1:54" ht="14.95" customHeight="1" thickBot="1" x14ac:dyDescent="0.3">
      <c r="A42" s="121" t="s">
        <v>1027</v>
      </c>
      <c r="B42" s="77">
        <v>6</v>
      </c>
      <c r="C42" s="259">
        <v>3</v>
      </c>
      <c r="D42" s="237">
        <v>0</v>
      </c>
      <c r="E42" s="129">
        <f t="shared" si="0"/>
        <v>9</v>
      </c>
      <c r="F42" s="123" t="s">
        <v>1027</v>
      </c>
      <c r="G42" s="135">
        <v>30</v>
      </c>
      <c r="H42" s="284">
        <v>15</v>
      </c>
      <c r="I42" s="214">
        <v>0</v>
      </c>
      <c r="J42" s="126">
        <f t="shared" si="1"/>
        <v>45</v>
      </c>
    </row>
    <row r="43" spans="1:54" ht="14.95" customHeight="1" thickBot="1" x14ac:dyDescent="0.3">
      <c r="A43" s="121" t="s">
        <v>515</v>
      </c>
      <c r="B43" s="77">
        <v>1</v>
      </c>
      <c r="C43" s="259">
        <v>0</v>
      </c>
      <c r="D43" s="237">
        <v>0</v>
      </c>
      <c r="E43" s="129">
        <f t="shared" si="0"/>
        <v>1</v>
      </c>
      <c r="F43" s="123" t="s">
        <v>515</v>
      </c>
      <c r="G43" s="135">
        <v>5</v>
      </c>
      <c r="H43" s="284">
        <v>0</v>
      </c>
      <c r="I43" s="214">
        <v>0</v>
      </c>
      <c r="J43" s="126">
        <f t="shared" si="1"/>
        <v>5</v>
      </c>
    </row>
    <row r="44" spans="1:54" ht="14.95" customHeight="1" thickBot="1" x14ac:dyDescent="0.3">
      <c r="A44" s="121" t="s">
        <v>966</v>
      </c>
      <c r="B44" s="77">
        <v>2</v>
      </c>
      <c r="C44" s="259">
        <v>0</v>
      </c>
      <c r="D44" s="237">
        <v>3</v>
      </c>
      <c r="E44" s="129">
        <f t="shared" si="0"/>
        <v>5</v>
      </c>
      <c r="F44" s="123" t="s">
        <v>966</v>
      </c>
      <c r="G44" s="135">
        <v>10</v>
      </c>
      <c r="H44" s="284">
        <v>0</v>
      </c>
      <c r="I44" s="214">
        <v>15</v>
      </c>
      <c r="J44" s="126">
        <f t="shared" si="1"/>
        <v>25</v>
      </c>
    </row>
    <row r="45" spans="1:54" ht="14.95" thickBot="1" x14ac:dyDescent="0.3">
      <c r="A45" s="121" t="s">
        <v>20</v>
      </c>
      <c r="B45" s="77">
        <v>0</v>
      </c>
      <c r="C45" s="259">
        <v>0</v>
      </c>
      <c r="D45" s="237">
        <v>0</v>
      </c>
      <c r="E45" s="129">
        <f t="shared" si="0"/>
        <v>0</v>
      </c>
      <c r="F45" s="123" t="s">
        <v>20</v>
      </c>
      <c r="G45" s="135">
        <v>0</v>
      </c>
      <c r="H45" s="284">
        <v>0</v>
      </c>
      <c r="I45" s="214">
        <v>0</v>
      </c>
      <c r="J45" s="126">
        <f t="shared" si="1"/>
        <v>0</v>
      </c>
    </row>
    <row r="46" spans="1:54" ht="14.95" thickBot="1" x14ac:dyDescent="0.3">
      <c r="A46" s="121" t="s">
        <v>899</v>
      </c>
      <c r="B46" s="77">
        <v>0</v>
      </c>
      <c r="C46" s="259">
        <v>0</v>
      </c>
      <c r="D46" s="237">
        <v>0</v>
      </c>
      <c r="E46" s="129">
        <f t="shared" si="0"/>
        <v>0</v>
      </c>
      <c r="F46" s="123" t="s">
        <v>899</v>
      </c>
      <c r="G46" s="135">
        <v>0</v>
      </c>
      <c r="H46" s="284">
        <v>0</v>
      </c>
      <c r="I46" s="214">
        <v>0</v>
      </c>
      <c r="J46" s="126">
        <f t="shared" si="1"/>
        <v>0</v>
      </c>
    </row>
    <row r="47" spans="1:54" ht="14.95" thickBot="1" x14ac:dyDescent="0.3">
      <c r="A47" s="121" t="s">
        <v>733</v>
      </c>
      <c r="B47" s="77">
        <v>0</v>
      </c>
      <c r="C47" s="259">
        <v>0</v>
      </c>
      <c r="D47" s="237">
        <v>0</v>
      </c>
      <c r="E47" s="129">
        <f t="shared" si="0"/>
        <v>0</v>
      </c>
      <c r="F47" s="123" t="s">
        <v>733</v>
      </c>
      <c r="G47" s="135">
        <v>0</v>
      </c>
      <c r="H47" s="284">
        <v>0</v>
      </c>
      <c r="I47" s="214">
        <v>0</v>
      </c>
      <c r="J47" s="126">
        <f t="shared" si="1"/>
        <v>0</v>
      </c>
    </row>
    <row r="48" spans="1:54" ht="14.95" thickBot="1" x14ac:dyDescent="0.3">
      <c r="A48" s="121" t="s">
        <v>734</v>
      </c>
      <c r="B48" s="77">
        <v>0</v>
      </c>
      <c r="C48" s="259">
        <v>1</v>
      </c>
      <c r="D48" s="237">
        <v>1</v>
      </c>
      <c r="E48" s="129">
        <f t="shared" si="0"/>
        <v>2</v>
      </c>
      <c r="F48" s="123" t="s">
        <v>734</v>
      </c>
      <c r="G48" s="135">
        <v>0</v>
      </c>
      <c r="H48" s="284">
        <v>5</v>
      </c>
      <c r="I48" s="214">
        <v>5</v>
      </c>
      <c r="J48" s="126">
        <f t="shared" si="1"/>
        <v>10</v>
      </c>
    </row>
    <row r="49" spans="1:10" ht="14.95" thickBot="1" x14ac:dyDescent="0.3">
      <c r="A49" s="121" t="s">
        <v>3</v>
      </c>
      <c r="B49" s="77">
        <f>SUM(B3:B48)</f>
        <v>51</v>
      </c>
      <c r="C49" s="259">
        <f>SUM(C3:C48)</f>
        <v>23</v>
      </c>
      <c r="D49" s="237">
        <f>SUM(D3:D48)</f>
        <v>16</v>
      </c>
      <c r="E49" s="129">
        <f>SUM(E3:E48)</f>
        <v>90</v>
      </c>
      <c r="F49" s="123" t="s">
        <v>3</v>
      </c>
      <c r="G49" s="135">
        <f>SUM(G3:G48)</f>
        <v>347</v>
      </c>
      <c r="H49" s="284">
        <f>SUM(H3:H48)</f>
        <v>156</v>
      </c>
      <c r="I49" s="214">
        <f>SUM(I3:I48)</f>
        <v>111</v>
      </c>
      <c r="J49" s="126">
        <f>SUM(J3:J48)</f>
        <v>614</v>
      </c>
    </row>
    <row r="50" spans="1:10" x14ac:dyDescent="0.25">
      <c r="A50" s="477"/>
      <c r="B50" s="478"/>
      <c r="C50" s="478"/>
      <c r="D50" s="478"/>
      <c r="E50" s="478"/>
      <c r="F50" s="478"/>
      <c r="G50" s="478"/>
      <c r="H50" s="478"/>
      <c r="I50" s="307"/>
      <c r="J50" s="308"/>
    </row>
    <row r="51" spans="1:10" ht="14.95" thickBot="1" x14ac:dyDescent="0.3">
      <c r="A51" s="70" t="s">
        <v>12</v>
      </c>
      <c r="B51" s="132"/>
      <c r="E51" s="146"/>
      <c r="G51" s="132"/>
    </row>
    <row r="52" spans="1:10" ht="14.95" thickBot="1" x14ac:dyDescent="0.3">
      <c r="A52" s="120" t="s">
        <v>0</v>
      </c>
      <c r="B52" s="114" t="s">
        <v>226</v>
      </c>
      <c r="C52" s="258" t="s">
        <v>30</v>
      </c>
      <c r="D52" s="236" t="s">
        <v>339</v>
      </c>
      <c r="E52" s="128" t="s">
        <v>1</v>
      </c>
      <c r="F52" s="122" t="s">
        <v>2</v>
      </c>
      <c r="G52" s="137" t="s">
        <v>226</v>
      </c>
      <c r="H52" s="283" t="s">
        <v>30</v>
      </c>
      <c r="I52" s="213" t="s">
        <v>339</v>
      </c>
      <c r="J52" s="125" t="s">
        <v>1</v>
      </c>
    </row>
    <row r="53" spans="1:10" ht="14.95" thickBot="1" x14ac:dyDescent="0.3">
      <c r="A53" s="121" t="s">
        <v>288</v>
      </c>
      <c r="B53" s="77">
        <v>9</v>
      </c>
      <c r="C53" s="259">
        <v>1</v>
      </c>
      <c r="D53" s="237">
        <v>0</v>
      </c>
      <c r="E53" s="129">
        <f t="shared" ref="E53:E98" si="17">SUM(B53:D53)</f>
        <v>10</v>
      </c>
      <c r="F53" s="123" t="s">
        <v>964</v>
      </c>
      <c r="G53" s="135">
        <v>46</v>
      </c>
      <c r="H53" s="284">
        <v>21</v>
      </c>
      <c r="I53" s="214">
        <v>24</v>
      </c>
      <c r="J53" s="126">
        <f t="shared" ref="J53:J98" si="18">SUM(G53:I53)</f>
        <v>91</v>
      </c>
    </row>
    <row r="54" spans="1:10" ht="14.95" thickBot="1" x14ac:dyDescent="0.3">
      <c r="A54" s="121" t="s">
        <v>1027</v>
      </c>
      <c r="B54" s="77">
        <v>6</v>
      </c>
      <c r="C54" s="259">
        <v>3</v>
      </c>
      <c r="D54" s="237">
        <v>0</v>
      </c>
      <c r="E54" s="129">
        <f t="shared" si="17"/>
        <v>9</v>
      </c>
      <c r="F54" s="123" t="s">
        <v>296</v>
      </c>
      <c r="G54" s="135">
        <v>66</v>
      </c>
      <c r="H54" s="284">
        <v>20</v>
      </c>
      <c r="I54" s="214">
        <v>0</v>
      </c>
      <c r="J54" s="126">
        <f t="shared" si="18"/>
        <v>86</v>
      </c>
    </row>
    <row r="55" spans="1:10" ht="14.95" thickBot="1" x14ac:dyDescent="0.3">
      <c r="A55" s="121" t="s">
        <v>364</v>
      </c>
      <c r="B55" s="77">
        <v>4</v>
      </c>
      <c r="C55" s="259">
        <v>4</v>
      </c>
      <c r="D55" s="237">
        <v>0</v>
      </c>
      <c r="E55" s="129">
        <f t="shared" si="17"/>
        <v>8</v>
      </c>
      <c r="F55" s="123" t="s">
        <v>288</v>
      </c>
      <c r="G55" s="135">
        <v>45</v>
      </c>
      <c r="H55" s="284">
        <v>5</v>
      </c>
      <c r="I55" s="214">
        <v>0</v>
      </c>
      <c r="J55" s="126">
        <f t="shared" si="18"/>
        <v>50</v>
      </c>
    </row>
    <row r="56" spans="1:10" ht="14.95" thickBot="1" x14ac:dyDescent="0.3">
      <c r="A56" s="121" t="s">
        <v>167</v>
      </c>
      <c r="B56" s="77">
        <v>5</v>
      </c>
      <c r="C56" s="259">
        <v>1</v>
      </c>
      <c r="D56" s="237">
        <v>0</v>
      </c>
      <c r="E56" s="129">
        <f t="shared" si="17"/>
        <v>6</v>
      </c>
      <c r="F56" s="123" t="s">
        <v>1027</v>
      </c>
      <c r="G56" s="135">
        <v>30</v>
      </c>
      <c r="H56" s="284">
        <v>15</v>
      </c>
      <c r="I56" s="214">
        <v>0</v>
      </c>
      <c r="J56" s="126">
        <f t="shared" si="18"/>
        <v>45</v>
      </c>
    </row>
    <row r="57" spans="1:10" ht="14.95" thickBot="1" x14ac:dyDescent="0.3">
      <c r="A57" s="121" t="s">
        <v>381</v>
      </c>
      <c r="B57" s="77">
        <v>6</v>
      </c>
      <c r="C57" s="259">
        <v>0</v>
      </c>
      <c r="D57" s="237">
        <v>0</v>
      </c>
      <c r="E57" s="129">
        <f t="shared" si="17"/>
        <v>6</v>
      </c>
      <c r="F57" s="123" t="s">
        <v>364</v>
      </c>
      <c r="G57" s="135">
        <v>20</v>
      </c>
      <c r="H57" s="284">
        <v>20</v>
      </c>
      <c r="I57" s="214">
        <v>0</v>
      </c>
      <c r="J57" s="126">
        <f t="shared" si="18"/>
        <v>40</v>
      </c>
    </row>
    <row r="58" spans="1:10" ht="14.95" thickBot="1" x14ac:dyDescent="0.3">
      <c r="A58" s="121" t="s">
        <v>447</v>
      </c>
      <c r="B58" s="77">
        <v>3</v>
      </c>
      <c r="C58" s="259">
        <v>3</v>
      </c>
      <c r="D58" s="237">
        <v>0</v>
      </c>
      <c r="E58" s="129">
        <f t="shared" si="17"/>
        <v>6</v>
      </c>
      <c r="F58" s="124" t="s">
        <v>167</v>
      </c>
      <c r="G58" s="135">
        <v>25</v>
      </c>
      <c r="H58" s="284">
        <v>5</v>
      </c>
      <c r="I58" s="214">
        <v>0</v>
      </c>
      <c r="J58" s="126">
        <f t="shared" si="18"/>
        <v>30</v>
      </c>
    </row>
    <row r="59" spans="1:10" ht="14.95" thickBot="1" x14ac:dyDescent="0.3">
      <c r="A59" s="121" t="s">
        <v>966</v>
      </c>
      <c r="B59" s="77">
        <v>2</v>
      </c>
      <c r="C59" s="259">
        <v>0</v>
      </c>
      <c r="D59" s="237">
        <v>3</v>
      </c>
      <c r="E59" s="129">
        <f t="shared" si="17"/>
        <v>5</v>
      </c>
      <c r="F59" s="124" t="s">
        <v>381</v>
      </c>
      <c r="G59" s="135">
        <v>30</v>
      </c>
      <c r="H59" s="284">
        <v>0</v>
      </c>
      <c r="I59" s="214">
        <v>0</v>
      </c>
      <c r="J59" s="126">
        <f t="shared" si="18"/>
        <v>30</v>
      </c>
    </row>
    <row r="60" spans="1:10" ht="14.95" thickBot="1" x14ac:dyDescent="0.3">
      <c r="A60" s="121" t="s">
        <v>963</v>
      </c>
      <c r="B60" s="77">
        <v>0</v>
      </c>
      <c r="C60" s="259">
        <v>1</v>
      </c>
      <c r="D60" s="237">
        <v>3</v>
      </c>
      <c r="E60" s="129">
        <f t="shared" si="17"/>
        <v>4</v>
      </c>
      <c r="F60" s="124" t="s">
        <v>447</v>
      </c>
      <c r="G60" s="135">
        <v>15</v>
      </c>
      <c r="H60" s="284">
        <v>15</v>
      </c>
      <c r="I60" s="214">
        <v>0</v>
      </c>
      <c r="J60" s="126">
        <f t="shared" si="18"/>
        <v>30</v>
      </c>
    </row>
    <row r="61" spans="1:10" ht="14.95" thickBot="1" x14ac:dyDescent="0.3">
      <c r="A61" s="121" t="s">
        <v>435</v>
      </c>
      <c r="B61" s="77">
        <v>0</v>
      </c>
      <c r="C61" s="259">
        <v>2</v>
      </c>
      <c r="D61" s="237">
        <v>2</v>
      </c>
      <c r="E61" s="129">
        <f t="shared" si="17"/>
        <v>4</v>
      </c>
      <c r="F61" s="123" t="s">
        <v>966</v>
      </c>
      <c r="G61" s="135">
        <v>10</v>
      </c>
      <c r="H61" s="284">
        <v>0</v>
      </c>
      <c r="I61" s="214">
        <v>15</v>
      </c>
      <c r="J61" s="126">
        <f t="shared" si="18"/>
        <v>25</v>
      </c>
    </row>
    <row r="62" spans="1:10" ht="14.95" thickBot="1" x14ac:dyDescent="0.3">
      <c r="A62" s="121" t="s">
        <v>545</v>
      </c>
      <c r="B62" s="77">
        <v>0</v>
      </c>
      <c r="C62" s="259">
        <v>3</v>
      </c>
      <c r="D62" s="237">
        <v>1</v>
      </c>
      <c r="E62" s="129">
        <f t="shared" si="17"/>
        <v>4</v>
      </c>
      <c r="F62" s="123" t="s">
        <v>963</v>
      </c>
      <c r="G62" s="135">
        <v>0</v>
      </c>
      <c r="H62" s="284">
        <v>5</v>
      </c>
      <c r="I62" s="214">
        <v>15</v>
      </c>
      <c r="J62" s="126">
        <f t="shared" si="18"/>
        <v>20</v>
      </c>
    </row>
    <row r="63" spans="1:10" ht="14.95" thickBot="1" x14ac:dyDescent="0.3">
      <c r="A63" s="121" t="s">
        <v>962</v>
      </c>
      <c r="B63" s="77">
        <v>2</v>
      </c>
      <c r="C63" s="259">
        <v>1</v>
      </c>
      <c r="D63" s="237">
        <v>0</v>
      </c>
      <c r="E63" s="129">
        <f t="shared" si="17"/>
        <v>3</v>
      </c>
      <c r="F63" s="123" t="s">
        <v>435</v>
      </c>
      <c r="G63" s="135">
        <v>0</v>
      </c>
      <c r="H63" s="284">
        <v>10</v>
      </c>
      <c r="I63" s="214">
        <v>10</v>
      </c>
      <c r="J63" s="126">
        <f t="shared" si="18"/>
        <v>20</v>
      </c>
    </row>
    <row r="64" spans="1:10" ht="14.95" thickBot="1" x14ac:dyDescent="0.3">
      <c r="A64" s="121" t="s">
        <v>363</v>
      </c>
      <c r="B64" s="77">
        <v>3</v>
      </c>
      <c r="C64" s="259">
        <v>0</v>
      </c>
      <c r="D64" s="237">
        <v>0</v>
      </c>
      <c r="E64" s="129">
        <f t="shared" si="17"/>
        <v>3</v>
      </c>
      <c r="F64" s="123" t="s">
        <v>545</v>
      </c>
      <c r="G64" s="135">
        <v>0</v>
      </c>
      <c r="H64" s="284">
        <v>15</v>
      </c>
      <c r="I64" s="214">
        <v>5</v>
      </c>
      <c r="J64" s="126">
        <f t="shared" si="18"/>
        <v>20</v>
      </c>
    </row>
    <row r="65" spans="1:10" ht="14.95" thickBot="1" x14ac:dyDescent="0.3">
      <c r="A65" s="121" t="s">
        <v>71</v>
      </c>
      <c r="B65" s="77">
        <v>2</v>
      </c>
      <c r="C65" s="259">
        <v>1</v>
      </c>
      <c r="D65" s="237">
        <v>0</v>
      </c>
      <c r="E65" s="129">
        <f t="shared" si="17"/>
        <v>3</v>
      </c>
      <c r="F65" s="123" t="s">
        <v>962</v>
      </c>
      <c r="G65" s="135">
        <v>10</v>
      </c>
      <c r="H65" s="284">
        <v>5</v>
      </c>
      <c r="I65" s="214">
        <v>0</v>
      </c>
      <c r="J65" s="126">
        <f t="shared" si="18"/>
        <v>15</v>
      </c>
    </row>
    <row r="66" spans="1:10" ht="14.95" thickBot="1" x14ac:dyDescent="0.3">
      <c r="A66" s="121" t="s">
        <v>964</v>
      </c>
      <c r="B66" s="77">
        <v>2</v>
      </c>
      <c r="C66" s="259">
        <v>0</v>
      </c>
      <c r="D66" s="237">
        <v>0</v>
      </c>
      <c r="E66" s="129">
        <f t="shared" si="17"/>
        <v>2</v>
      </c>
      <c r="F66" s="123" t="s">
        <v>363</v>
      </c>
      <c r="G66" s="135">
        <v>15</v>
      </c>
      <c r="H66" s="284">
        <v>0</v>
      </c>
      <c r="I66" s="214">
        <v>0</v>
      </c>
      <c r="J66" s="126">
        <f t="shared" si="18"/>
        <v>15</v>
      </c>
    </row>
    <row r="67" spans="1:10" ht="14.95" thickBot="1" x14ac:dyDescent="0.3">
      <c r="A67" s="121" t="s">
        <v>785</v>
      </c>
      <c r="B67" s="77">
        <v>1</v>
      </c>
      <c r="C67" s="259">
        <v>1</v>
      </c>
      <c r="D67" s="237">
        <v>0</v>
      </c>
      <c r="E67" s="129">
        <f t="shared" si="17"/>
        <v>2</v>
      </c>
      <c r="F67" s="123" t="s">
        <v>71</v>
      </c>
      <c r="G67" s="135">
        <v>10</v>
      </c>
      <c r="H67" s="284">
        <v>5</v>
      </c>
      <c r="I67" s="214">
        <v>0</v>
      </c>
      <c r="J67" s="127">
        <f t="shared" si="18"/>
        <v>15</v>
      </c>
    </row>
    <row r="68" spans="1:10" ht="14.95" thickBot="1" x14ac:dyDescent="0.3">
      <c r="A68" s="121" t="s">
        <v>513</v>
      </c>
      <c r="B68" s="77">
        <v>2</v>
      </c>
      <c r="C68" s="259">
        <v>0</v>
      </c>
      <c r="D68" s="237">
        <v>0</v>
      </c>
      <c r="E68" s="129">
        <f t="shared" si="17"/>
        <v>2</v>
      </c>
      <c r="F68" s="123" t="s">
        <v>69</v>
      </c>
      <c r="G68" s="135">
        <v>5</v>
      </c>
      <c r="H68" s="284">
        <v>0</v>
      </c>
      <c r="I68" s="214">
        <v>5</v>
      </c>
      <c r="J68" s="126">
        <f t="shared" si="18"/>
        <v>10</v>
      </c>
    </row>
    <row r="69" spans="1:10" ht="14.95" thickBot="1" x14ac:dyDescent="0.3">
      <c r="A69" s="121" t="s">
        <v>296</v>
      </c>
      <c r="B69" s="77">
        <v>2</v>
      </c>
      <c r="C69" s="259">
        <v>0</v>
      </c>
      <c r="D69" s="237">
        <v>0</v>
      </c>
      <c r="E69" s="129">
        <f t="shared" si="17"/>
        <v>2</v>
      </c>
      <c r="F69" s="123" t="s">
        <v>785</v>
      </c>
      <c r="G69" s="135">
        <v>5</v>
      </c>
      <c r="H69" s="284">
        <v>5</v>
      </c>
      <c r="I69" s="214">
        <v>0</v>
      </c>
      <c r="J69" s="126">
        <f t="shared" si="18"/>
        <v>10</v>
      </c>
    </row>
    <row r="70" spans="1:10" ht="14.95" thickBot="1" x14ac:dyDescent="0.3">
      <c r="A70" s="121" t="s">
        <v>734</v>
      </c>
      <c r="B70" s="77">
        <v>0</v>
      </c>
      <c r="C70" s="259">
        <v>1</v>
      </c>
      <c r="D70" s="237">
        <v>1</v>
      </c>
      <c r="E70" s="129">
        <f t="shared" si="17"/>
        <v>2</v>
      </c>
      <c r="F70" s="123" t="s">
        <v>513</v>
      </c>
      <c r="G70" s="135">
        <v>10</v>
      </c>
      <c r="H70" s="284">
        <v>0</v>
      </c>
      <c r="I70" s="214">
        <v>0</v>
      </c>
      <c r="J70" s="126">
        <f t="shared" si="18"/>
        <v>10</v>
      </c>
    </row>
    <row r="71" spans="1:10" ht="14.95" thickBot="1" x14ac:dyDescent="0.3">
      <c r="A71" s="121" t="s">
        <v>7</v>
      </c>
      <c r="B71" s="77">
        <v>0</v>
      </c>
      <c r="C71" s="259">
        <v>0</v>
      </c>
      <c r="D71" s="237">
        <v>1</v>
      </c>
      <c r="E71" s="129">
        <f t="shared" si="17"/>
        <v>1</v>
      </c>
      <c r="F71" s="123" t="s">
        <v>734</v>
      </c>
      <c r="G71" s="135">
        <v>0</v>
      </c>
      <c r="H71" s="284">
        <v>5</v>
      </c>
      <c r="I71" s="214">
        <v>5</v>
      </c>
      <c r="J71" s="126">
        <f t="shared" si="18"/>
        <v>10</v>
      </c>
    </row>
    <row r="72" spans="1:10" ht="14.95" thickBot="1" x14ac:dyDescent="0.3">
      <c r="A72" s="121" t="s">
        <v>961</v>
      </c>
      <c r="B72" s="77">
        <v>0</v>
      </c>
      <c r="C72" s="259">
        <v>0</v>
      </c>
      <c r="D72" s="237">
        <v>1</v>
      </c>
      <c r="E72" s="129">
        <f t="shared" si="17"/>
        <v>1</v>
      </c>
      <c r="F72" s="123" t="s">
        <v>1052</v>
      </c>
      <c r="G72" s="135">
        <v>0</v>
      </c>
      <c r="H72" s="284">
        <v>0</v>
      </c>
      <c r="I72" s="214">
        <v>7</v>
      </c>
      <c r="J72" s="126">
        <f t="shared" si="18"/>
        <v>7</v>
      </c>
    </row>
    <row r="73" spans="1:10" ht="14.95" thickBot="1" x14ac:dyDescent="0.3">
      <c r="A73" s="121" t="s">
        <v>161</v>
      </c>
      <c r="B73" s="77">
        <v>0</v>
      </c>
      <c r="C73" s="259">
        <v>1</v>
      </c>
      <c r="D73" s="237">
        <v>0</v>
      </c>
      <c r="E73" s="129">
        <f t="shared" si="17"/>
        <v>1</v>
      </c>
      <c r="F73" s="123" t="s">
        <v>7</v>
      </c>
      <c r="G73" s="135">
        <v>0</v>
      </c>
      <c r="H73" s="284">
        <v>0</v>
      </c>
      <c r="I73" s="214">
        <v>5</v>
      </c>
      <c r="J73" s="126">
        <f t="shared" si="18"/>
        <v>5</v>
      </c>
    </row>
    <row r="74" spans="1:10" ht="14.95" thickBot="1" x14ac:dyDescent="0.3">
      <c r="A74" s="121" t="s">
        <v>69</v>
      </c>
      <c r="B74" s="77">
        <v>1</v>
      </c>
      <c r="C74" s="259">
        <v>0</v>
      </c>
      <c r="D74" s="237">
        <v>0</v>
      </c>
      <c r="E74" s="129">
        <f t="shared" si="17"/>
        <v>1</v>
      </c>
      <c r="F74" s="123" t="s">
        <v>961</v>
      </c>
      <c r="G74" s="135">
        <v>0</v>
      </c>
      <c r="H74" s="284">
        <v>0</v>
      </c>
      <c r="I74" s="214">
        <v>5</v>
      </c>
      <c r="J74" s="126">
        <f t="shared" si="18"/>
        <v>5</v>
      </c>
    </row>
    <row r="75" spans="1:10" ht="14.95" thickBot="1" x14ac:dyDescent="0.3">
      <c r="A75" s="121" t="s">
        <v>266</v>
      </c>
      <c r="B75" s="77">
        <v>0</v>
      </c>
      <c r="C75" s="259">
        <v>0</v>
      </c>
      <c r="D75" s="237">
        <v>1</v>
      </c>
      <c r="E75" s="129">
        <f t="shared" si="17"/>
        <v>1</v>
      </c>
      <c r="F75" s="123" t="s">
        <v>161</v>
      </c>
      <c r="G75" s="135">
        <v>0</v>
      </c>
      <c r="H75" s="284">
        <v>5</v>
      </c>
      <c r="I75" s="214">
        <v>0</v>
      </c>
      <c r="J75" s="126">
        <f t="shared" si="18"/>
        <v>5</v>
      </c>
    </row>
    <row r="76" spans="1:10" ht="14.95" thickBot="1" x14ac:dyDescent="0.3">
      <c r="A76" s="121" t="s">
        <v>1052</v>
      </c>
      <c r="B76" s="77">
        <v>0</v>
      </c>
      <c r="C76" s="259">
        <v>0</v>
      </c>
      <c r="D76" s="237">
        <v>1</v>
      </c>
      <c r="E76" s="129">
        <f t="shared" si="17"/>
        <v>1</v>
      </c>
      <c r="F76" s="123" t="s">
        <v>266</v>
      </c>
      <c r="G76" s="135">
        <v>0</v>
      </c>
      <c r="H76" s="284">
        <v>0</v>
      </c>
      <c r="I76" s="214">
        <v>5</v>
      </c>
      <c r="J76" s="126">
        <f t="shared" si="18"/>
        <v>5</v>
      </c>
    </row>
    <row r="77" spans="1:10" ht="14.95" thickBot="1" x14ac:dyDescent="0.3">
      <c r="A77" s="121" t="s">
        <v>1053</v>
      </c>
      <c r="B77" s="77">
        <v>0</v>
      </c>
      <c r="C77" s="259">
        <v>0</v>
      </c>
      <c r="D77" s="237">
        <v>1</v>
      </c>
      <c r="E77" s="129">
        <f t="shared" si="17"/>
        <v>1</v>
      </c>
      <c r="F77" s="123" t="s">
        <v>1053</v>
      </c>
      <c r="G77" s="135">
        <v>0</v>
      </c>
      <c r="H77" s="284">
        <v>0</v>
      </c>
      <c r="I77" s="214">
        <v>5</v>
      </c>
      <c r="J77" s="126">
        <f t="shared" si="18"/>
        <v>5</v>
      </c>
    </row>
    <row r="78" spans="1:10" ht="14.95" thickBot="1" x14ac:dyDescent="0.3">
      <c r="A78" s="121" t="s">
        <v>1076</v>
      </c>
      <c r="B78" s="77">
        <v>0</v>
      </c>
      <c r="C78" s="259">
        <v>0</v>
      </c>
      <c r="D78" s="237">
        <v>1</v>
      </c>
      <c r="E78" s="129">
        <f t="shared" si="17"/>
        <v>1</v>
      </c>
      <c r="F78" s="123" t="s">
        <v>1076</v>
      </c>
      <c r="G78" s="135">
        <v>0</v>
      </c>
      <c r="H78" s="284">
        <v>0</v>
      </c>
      <c r="I78" s="214">
        <v>5</v>
      </c>
      <c r="J78" s="126">
        <f t="shared" si="18"/>
        <v>5</v>
      </c>
    </row>
    <row r="79" spans="1:10" ht="14.95" thickBot="1" x14ac:dyDescent="0.3">
      <c r="A79" s="121" t="s">
        <v>515</v>
      </c>
      <c r="B79" s="77">
        <v>1</v>
      </c>
      <c r="C79" s="259">
        <v>0</v>
      </c>
      <c r="D79" s="237">
        <v>0</v>
      </c>
      <c r="E79" s="129">
        <f t="shared" si="17"/>
        <v>1</v>
      </c>
      <c r="F79" s="123" t="s">
        <v>515</v>
      </c>
      <c r="G79" s="135">
        <v>5</v>
      </c>
      <c r="H79" s="284">
        <v>0</v>
      </c>
      <c r="I79" s="214">
        <v>0</v>
      </c>
      <c r="J79" s="126">
        <f t="shared" si="18"/>
        <v>5</v>
      </c>
    </row>
    <row r="80" spans="1:10" ht="14.95" thickBot="1" x14ac:dyDescent="0.3">
      <c r="A80" s="121" t="s">
        <v>359</v>
      </c>
      <c r="B80" s="77">
        <v>0</v>
      </c>
      <c r="C80" s="259">
        <v>0</v>
      </c>
      <c r="D80" s="237">
        <v>0</v>
      </c>
      <c r="E80" s="129">
        <f t="shared" si="17"/>
        <v>0</v>
      </c>
      <c r="F80" s="123" t="s">
        <v>359</v>
      </c>
      <c r="G80" s="135">
        <v>0</v>
      </c>
      <c r="H80" s="284">
        <v>0</v>
      </c>
      <c r="I80" s="214">
        <v>0</v>
      </c>
      <c r="J80" s="126">
        <f t="shared" si="18"/>
        <v>0</v>
      </c>
    </row>
    <row r="81" spans="1:10" ht="14.95" thickBot="1" x14ac:dyDescent="0.3">
      <c r="A81" s="121" t="s">
        <v>291</v>
      </c>
      <c r="B81" s="77">
        <v>0</v>
      </c>
      <c r="C81" s="259">
        <v>0</v>
      </c>
      <c r="D81" s="237">
        <v>0</v>
      </c>
      <c r="E81" s="129">
        <f t="shared" si="17"/>
        <v>0</v>
      </c>
      <c r="F81" s="123" t="s">
        <v>291</v>
      </c>
      <c r="G81" s="135">
        <v>0</v>
      </c>
      <c r="H81" s="284">
        <v>0</v>
      </c>
      <c r="I81" s="214">
        <v>0</v>
      </c>
      <c r="J81" s="126">
        <f t="shared" si="18"/>
        <v>0</v>
      </c>
    </row>
    <row r="82" spans="1:10" ht="14.95" thickBot="1" x14ac:dyDescent="0.3">
      <c r="A82" s="121" t="s">
        <v>511</v>
      </c>
      <c r="B82" s="77">
        <v>0</v>
      </c>
      <c r="C82" s="259">
        <v>0</v>
      </c>
      <c r="D82" s="237">
        <v>0</v>
      </c>
      <c r="E82" s="129">
        <f t="shared" si="17"/>
        <v>0</v>
      </c>
      <c r="F82" s="123" t="s">
        <v>511</v>
      </c>
      <c r="G82" s="135">
        <v>0</v>
      </c>
      <c r="H82" s="284">
        <v>0</v>
      </c>
      <c r="I82" s="214">
        <v>0</v>
      </c>
      <c r="J82" s="126">
        <f t="shared" si="18"/>
        <v>0</v>
      </c>
    </row>
    <row r="83" spans="1:10" ht="14.95" thickBot="1" x14ac:dyDescent="0.3">
      <c r="A83" s="121" t="s">
        <v>813</v>
      </c>
      <c r="B83" s="77">
        <v>0</v>
      </c>
      <c r="C83" s="259">
        <v>0</v>
      </c>
      <c r="D83" s="237">
        <v>0</v>
      </c>
      <c r="E83" s="129">
        <f t="shared" si="17"/>
        <v>0</v>
      </c>
      <c r="F83" s="123" t="s">
        <v>813</v>
      </c>
      <c r="G83" s="135">
        <v>0</v>
      </c>
      <c r="H83" s="284">
        <v>0</v>
      </c>
      <c r="I83" s="214">
        <v>0</v>
      </c>
      <c r="J83" s="126">
        <f t="shared" si="18"/>
        <v>0</v>
      </c>
    </row>
    <row r="84" spans="1:10" ht="14.95" thickBot="1" x14ac:dyDescent="0.3">
      <c r="A84" s="121" t="s">
        <v>43</v>
      </c>
      <c r="B84" s="77">
        <v>0</v>
      </c>
      <c r="C84" s="259">
        <v>0</v>
      </c>
      <c r="D84" s="237">
        <v>0</v>
      </c>
      <c r="E84" s="129">
        <f t="shared" si="17"/>
        <v>0</v>
      </c>
      <c r="F84" s="123" t="s">
        <v>43</v>
      </c>
      <c r="G84" s="135">
        <v>0</v>
      </c>
      <c r="H84" s="284">
        <v>0</v>
      </c>
      <c r="I84" s="214">
        <v>0</v>
      </c>
      <c r="J84" s="126">
        <f t="shared" si="18"/>
        <v>0</v>
      </c>
    </row>
    <row r="85" spans="1:10" ht="14.95" thickBot="1" x14ac:dyDescent="0.3">
      <c r="A85" s="121" t="s">
        <v>594</v>
      </c>
      <c r="B85" s="77">
        <v>0</v>
      </c>
      <c r="C85" s="259">
        <v>0</v>
      </c>
      <c r="D85" s="237">
        <v>0</v>
      </c>
      <c r="E85" s="129">
        <f t="shared" si="17"/>
        <v>0</v>
      </c>
      <c r="F85" s="123" t="s">
        <v>594</v>
      </c>
      <c r="G85" s="135">
        <v>0</v>
      </c>
      <c r="H85" s="284">
        <v>0</v>
      </c>
      <c r="I85" s="214">
        <v>0</v>
      </c>
      <c r="J85" s="126">
        <f t="shared" si="18"/>
        <v>0</v>
      </c>
    </row>
    <row r="86" spans="1:10" ht="14.95" thickBot="1" x14ac:dyDescent="0.3">
      <c r="A86" s="121" t="s">
        <v>271</v>
      </c>
      <c r="B86" s="77">
        <v>0</v>
      </c>
      <c r="C86" s="259">
        <v>0</v>
      </c>
      <c r="D86" s="237">
        <v>0</v>
      </c>
      <c r="E86" s="129">
        <f t="shared" si="17"/>
        <v>0</v>
      </c>
      <c r="F86" s="123" t="s">
        <v>271</v>
      </c>
      <c r="G86" s="135">
        <v>0</v>
      </c>
      <c r="H86" s="284">
        <v>0</v>
      </c>
      <c r="I86" s="214">
        <v>0</v>
      </c>
      <c r="J86" s="126">
        <f t="shared" si="18"/>
        <v>0</v>
      </c>
    </row>
    <row r="87" spans="1:10" ht="14.95" thickBot="1" x14ac:dyDescent="0.3">
      <c r="A87" s="121" t="s">
        <v>960</v>
      </c>
      <c r="B87" s="77">
        <v>0</v>
      </c>
      <c r="C87" s="259">
        <v>0</v>
      </c>
      <c r="D87" s="237">
        <v>0</v>
      </c>
      <c r="E87" s="129">
        <f t="shared" si="17"/>
        <v>0</v>
      </c>
      <c r="F87" s="123" t="s">
        <v>960</v>
      </c>
      <c r="G87" s="135">
        <v>0</v>
      </c>
      <c r="H87" s="284">
        <v>0</v>
      </c>
      <c r="I87" s="214">
        <v>0</v>
      </c>
      <c r="J87" s="126">
        <f t="shared" si="18"/>
        <v>0</v>
      </c>
    </row>
    <row r="88" spans="1:10" ht="14.95" thickBot="1" x14ac:dyDescent="0.3">
      <c r="A88" s="121" t="s">
        <v>512</v>
      </c>
      <c r="B88" s="77">
        <v>0</v>
      </c>
      <c r="C88" s="259">
        <v>0</v>
      </c>
      <c r="D88" s="237">
        <v>0</v>
      </c>
      <c r="E88" s="129">
        <f t="shared" si="17"/>
        <v>0</v>
      </c>
      <c r="F88" s="123" t="s">
        <v>512</v>
      </c>
      <c r="G88" s="135">
        <v>0</v>
      </c>
      <c r="H88" s="284">
        <v>0</v>
      </c>
      <c r="I88" s="214">
        <v>0</v>
      </c>
      <c r="J88" s="126">
        <f t="shared" si="18"/>
        <v>0</v>
      </c>
    </row>
    <row r="89" spans="1:10" ht="14.95" thickBot="1" x14ac:dyDescent="0.3">
      <c r="A89" s="121" t="s">
        <v>452</v>
      </c>
      <c r="B89" s="77">
        <v>0</v>
      </c>
      <c r="C89" s="259">
        <v>0</v>
      </c>
      <c r="D89" s="237">
        <v>0</v>
      </c>
      <c r="E89" s="129">
        <f t="shared" si="17"/>
        <v>0</v>
      </c>
      <c r="F89" s="123" t="s">
        <v>452</v>
      </c>
      <c r="G89" s="135">
        <v>0</v>
      </c>
      <c r="H89" s="284">
        <v>0</v>
      </c>
      <c r="I89" s="214">
        <v>0</v>
      </c>
      <c r="J89" s="126">
        <f t="shared" si="18"/>
        <v>0</v>
      </c>
    </row>
    <row r="90" spans="1:10" ht="14.95" thickBot="1" x14ac:dyDescent="0.3">
      <c r="A90" s="121" t="s">
        <v>282</v>
      </c>
      <c r="B90" s="77">
        <v>0</v>
      </c>
      <c r="C90" s="259">
        <v>0</v>
      </c>
      <c r="D90" s="237">
        <v>0</v>
      </c>
      <c r="E90" s="129">
        <f t="shared" si="17"/>
        <v>0</v>
      </c>
      <c r="F90" s="123" t="s">
        <v>282</v>
      </c>
      <c r="G90" s="135">
        <v>0</v>
      </c>
      <c r="H90" s="284">
        <v>0</v>
      </c>
      <c r="I90" s="214">
        <v>0</v>
      </c>
      <c r="J90" s="126">
        <f t="shared" si="18"/>
        <v>0</v>
      </c>
    </row>
    <row r="91" spans="1:10" ht="14.95" thickBot="1" x14ac:dyDescent="0.3">
      <c r="A91" s="121" t="s">
        <v>514</v>
      </c>
      <c r="B91" s="77">
        <v>0</v>
      </c>
      <c r="C91" s="259">
        <v>0</v>
      </c>
      <c r="D91" s="237">
        <v>0</v>
      </c>
      <c r="E91" s="129">
        <f t="shared" si="17"/>
        <v>0</v>
      </c>
      <c r="F91" s="123" t="s">
        <v>514</v>
      </c>
      <c r="G91" s="135">
        <v>0</v>
      </c>
      <c r="H91" s="284">
        <v>0</v>
      </c>
      <c r="I91" s="214">
        <v>0</v>
      </c>
      <c r="J91" s="126">
        <f t="shared" si="18"/>
        <v>0</v>
      </c>
    </row>
    <row r="92" spans="1:10" ht="14.95" thickBot="1" x14ac:dyDescent="0.3">
      <c r="A92" s="121" t="s">
        <v>872</v>
      </c>
      <c r="B92" s="77">
        <v>0</v>
      </c>
      <c r="C92" s="259">
        <v>0</v>
      </c>
      <c r="D92" s="237">
        <v>0</v>
      </c>
      <c r="E92" s="129">
        <f t="shared" si="17"/>
        <v>0</v>
      </c>
      <c r="F92" s="123" t="s">
        <v>872</v>
      </c>
      <c r="G92" s="135">
        <v>0</v>
      </c>
      <c r="H92" s="284">
        <v>0</v>
      </c>
      <c r="I92" s="214">
        <v>0</v>
      </c>
      <c r="J92" s="126">
        <f t="shared" si="18"/>
        <v>0</v>
      </c>
    </row>
    <row r="93" spans="1:10" ht="14.95" thickBot="1" x14ac:dyDescent="0.3">
      <c r="A93" s="121" t="s">
        <v>4</v>
      </c>
      <c r="B93" s="77">
        <v>0</v>
      </c>
      <c r="C93" s="259">
        <v>0</v>
      </c>
      <c r="D93" s="237">
        <v>0</v>
      </c>
      <c r="E93" s="129">
        <f t="shared" si="17"/>
        <v>0</v>
      </c>
      <c r="F93" s="123" t="s">
        <v>4</v>
      </c>
      <c r="G93" s="135">
        <v>0</v>
      </c>
      <c r="H93" s="284">
        <v>0</v>
      </c>
      <c r="I93" s="214">
        <v>0</v>
      </c>
      <c r="J93" s="126">
        <f t="shared" si="18"/>
        <v>0</v>
      </c>
    </row>
    <row r="94" spans="1:10" ht="14.95" thickBot="1" x14ac:dyDescent="0.3">
      <c r="A94" s="121" t="s">
        <v>968</v>
      </c>
      <c r="B94" s="77">
        <v>0</v>
      </c>
      <c r="C94" s="259">
        <v>0</v>
      </c>
      <c r="D94" s="237">
        <v>0</v>
      </c>
      <c r="E94" s="129">
        <f t="shared" si="17"/>
        <v>0</v>
      </c>
      <c r="F94" s="123" t="s">
        <v>968</v>
      </c>
      <c r="G94" s="135">
        <v>0</v>
      </c>
      <c r="H94" s="284">
        <v>0</v>
      </c>
      <c r="I94" s="214">
        <v>0</v>
      </c>
      <c r="J94" s="126">
        <f t="shared" si="18"/>
        <v>0</v>
      </c>
    </row>
    <row r="95" spans="1:10" ht="14.95" thickBot="1" x14ac:dyDescent="0.3">
      <c r="A95" s="121" t="s">
        <v>393</v>
      </c>
      <c r="B95" s="77">
        <v>0</v>
      </c>
      <c r="C95" s="259">
        <v>0</v>
      </c>
      <c r="D95" s="237">
        <v>0</v>
      </c>
      <c r="E95" s="129">
        <f t="shared" si="17"/>
        <v>0</v>
      </c>
      <c r="F95" s="123" t="s">
        <v>393</v>
      </c>
      <c r="G95" s="135">
        <v>0</v>
      </c>
      <c r="H95" s="284">
        <v>0</v>
      </c>
      <c r="I95" s="214">
        <v>0</v>
      </c>
      <c r="J95" s="126">
        <f t="shared" si="18"/>
        <v>0</v>
      </c>
    </row>
    <row r="96" spans="1:10" ht="14.95" thickBot="1" x14ac:dyDescent="0.3">
      <c r="A96" s="121" t="s">
        <v>20</v>
      </c>
      <c r="B96" s="77">
        <v>0</v>
      </c>
      <c r="C96" s="259">
        <v>0</v>
      </c>
      <c r="D96" s="237">
        <v>0</v>
      </c>
      <c r="E96" s="129">
        <f t="shared" si="17"/>
        <v>0</v>
      </c>
      <c r="F96" s="123" t="s">
        <v>20</v>
      </c>
      <c r="G96" s="135">
        <v>0</v>
      </c>
      <c r="H96" s="284">
        <v>0</v>
      </c>
      <c r="I96" s="214">
        <v>0</v>
      </c>
      <c r="J96" s="126">
        <f t="shared" si="18"/>
        <v>0</v>
      </c>
    </row>
    <row r="97" spans="1:10" ht="14.95" thickBot="1" x14ac:dyDescent="0.3">
      <c r="A97" s="121" t="s">
        <v>899</v>
      </c>
      <c r="B97" s="77">
        <v>0</v>
      </c>
      <c r="C97" s="259">
        <v>0</v>
      </c>
      <c r="D97" s="237">
        <v>0</v>
      </c>
      <c r="E97" s="129">
        <f t="shared" si="17"/>
        <v>0</v>
      </c>
      <c r="F97" s="123" t="s">
        <v>899</v>
      </c>
      <c r="G97" s="135">
        <v>0</v>
      </c>
      <c r="H97" s="284">
        <v>0</v>
      </c>
      <c r="I97" s="214">
        <v>0</v>
      </c>
      <c r="J97" s="126">
        <f t="shared" si="18"/>
        <v>0</v>
      </c>
    </row>
    <row r="98" spans="1:10" ht="14.95" thickBot="1" x14ac:dyDescent="0.3">
      <c r="A98" s="121" t="s">
        <v>733</v>
      </c>
      <c r="B98" s="77">
        <v>0</v>
      </c>
      <c r="C98" s="259">
        <v>0</v>
      </c>
      <c r="D98" s="237">
        <v>0</v>
      </c>
      <c r="E98" s="129">
        <f t="shared" si="17"/>
        <v>0</v>
      </c>
      <c r="F98" s="123" t="s">
        <v>733</v>
      </c>
      <c r="G98" s="135">
        <v>0</v>
      </c>
      <c r="H98" s="284">
        <v>0</v>
      </c>
      <c r="I98" s="214">
        <v>0</v>
      </c>
      <c r="J98" s="126">
        <f t="shared" si="18"/>
        <v>0</v>
      </c>
    </row>
    <row r="99" spans="1:10" ht="14.95" thickBot="1" x14ac:dyDescent="0.3">
      <c r="A99" s="121" t="s">
        <v>3</v>
      </c>
      <c r="B99" s="77">
        <f>SUM(B53:B98)</f>
        <v>51</v>
      </c>
      <c r="C99" s="259">
        <f>SUM(C53:C98)</f>
        <v>23</v>
      </c>
      <c r="D99" s="237">
        <f>SUM(D53:D98)</f>
        <v>16</v>
      </c>
      <c r="E99" s="129">
        <f>SUM(E53:E98)</f>
        <v>90</v>
      </c>
      <c r="F99" s="123" t="s">
        <v>3</v>
      </c>
      <c r="G99" s="135">
        <f>SUM(G53:G98)</f>
        <v>347</v>
      </c>
      <c r="H99" s="284">
        <f>SUM(H53:H98)</f>
        <v>156</v>
      </c>
      <c r="I99" s="214">
        <f>SUM(I53:I98)</f>
        <v>111</v>
      </c>
      <c r="J99" s="126">
        <f>SUM(J53:J98)</f>
        <v>614</v>
      </c>
    </row>
    <row r="100" spans="1:10" ht="16.3" x14ac:dyDescent="0.3">
      <c r="A100" s="431" t="s">
        <v>34</v>
      </c>
    </row>
  </sheetData>
  <sortState xmlns:xlrd2="http://schemas.microsoft.com/office/spreadsheetml/2017/richdata2" ref="F53:J98">
    <sortCondition descending="1" ref="J53:J98"/>
  </sortState>
  <mergeCells count="62">
    <mergeCell ref="A1:J1"/>
    <mergeCell ref="T1:V2"/>
    <mergeCell ref="K12:K13"/>
    <mergeCell ref="K1:K2"/>
    <mergeCell ref="L1:N2"/>
    <mergeCell ref="O1:Q2"/>
    <mergeCell ref="L12:N13"/>
    <mergeCell ref="AE1:AG2"/>
    <mergeCell ref="AE12:AG13"/>
    <mergeCell ref="AE20:AG21"/>
    <mergeCell ref="AE28:AG29"/>
    <mergeCell ref="R1:S2"/>
    <mergeCell ref="W1:Y2"/>
    <mergeCell ref="AB1:AD2"/>
    <mergeCell ref="BF1:BH2"/>
    <mergeCell ref="AQ20:AS21"/>
    <mergeCell ref="AT20:AV21"/>
    <mergeCell ref="AN20:AP21"/>
    <mergeCell ref="AN1:AP2"/>
    <mergeCell ref="AT1:AV2"/>
    <mergeCell ref="AT12:AV13"/>
    <mergeCell ref="AQ1:AS2"/>
    <mergeCell ref="AQ12:AS13"/>
    <mergeCell ref="AW20:AY21"/>
    <mergeCell ref="AZ20:BB21"/>
    <mergeCell ref="BC1:BE2"/>
    <mergeCell ref="AZ1:BB2"/>
    <mergeCell ref="AW1:AY2"/>
    <mergeCell ref="AZ12:BB13"/>
    <mergeCell ref="AW12:AY13"/>
    <mergeCell ref="AH1:AJ2"/>
    <mergeCell ref="AH12:AJ13"/>
    <mergeCell ref="AH20:AJ21"/>
    <mergeCell ref="AH28:AJ29"/>
    <mergeCell ref="AK28:AM29"/>
    <mergeCell ref="AK1:AM2"/>
    <mergeCell ref="AK12:AM13"/>
    <mergeCell ref="AK20:AM21"/>
    <mergeCell ref="AT28:AV29"/>
    <mergeCell ref="AQ28:AS29"/>
    <mergeCell ref="AN28:AP29"/>
    <mergeCell ref="O20:Q21"/>
    <mergeCell ref="K28:K29"/>
    <mergeCell ref="L28:N29"/>
    <mergeCell ref="AB20:AD21"/>
    <mergeCell ref="AB28:AD29"/>
    <mergeCell ref="AN12:AP13"/>
    <mergeCell ref="K38:R38"/>
    <mergeCell ref="A50:H50"/>
    <mergeCell ref="K36:W36"/>
    <mergeCell ref="K37:Y37"/>
    <mergeCell ref="U28:W29"/>
    <mergeCell ref="R28:T29"/>
    <mergeCell ref="O28:Q29"/>
    <mergeCell ref="R12:T13"/>
    <mergeCell ref="U12:W13"/>
    <mergeCell ref="O12:Q13"/>
    <mergeCell ref="K20:K21"/>
    <mergeCell ref="L20:N21"/>
    <mergeCell ref="U20:W21"/>
    <mergeCell ref="R20:T21"/>
    <mergeCell ref="AB12:AD13"/>
  </mergeCells>
  <pageMargins left="0.7" right="0.7" top="0.75" bottom="0.75" header="0.3" footer="0.3"/>
  <pageSetup paperSize="9" orientation="portrait" r:id="rId1"/>
  <ignoredErrors>
    <ignoredError sqref="E2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100"/>
  <sheetViews>
    <sheetView zoomScaleNormal="100" workbookViewId="0">
      <selection activeCell="Z19" sqref="Z19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9" width="5.75" customWidth="1"/>
    <col min="50" max="52" width="5.625" customWidth="1"/>
  </cols>
  <sheetData>
    <row r="1" spans="1:64" ht="14.95" customHeight="1" thickBot="1" x14ac:dyDescent="0.3">
      <c r="A1" s="558" t="s">
        <v>930</v>
      </c>
      <c r="B1" s="559"/>
      <c r="C1" s="559"/>
      <c r="D1" s="559"/>
      <c r="E1" s="559"/>
      <c r="F1" s="559"/>
      <c r="G1" s="559"/>
      <c r="H1" s="559"/>
      <c r="I1" s="559"/>
      <c r="J1" s="560"/>
      <c r="K1" s="494" t="s">
        <v>194</v>
      </c>
      <c r="L1" s="481" t="s">
        <v>14</v>
      </c>
      <c r="M1" s="482"/>
      <c r="N1" s="483"/>
      <c r="O1" s="481" t="s">
        <v>40</v>
      </c>
      <c r="P1" s="482"/>
      <c r="Q1" s="483"/>
      <c r="R1" s="481" t="s">
        <v>193</v>
      </c>
      <c r="S1" s="483"/>
      <c r="T1" s="457" t="s">
        <v>234</v>
      </c>
      <c r="U1" s="458"/>
      <c r="V1" s="459"/>
      <c r="W1" s="457" t="s">
        <v>903</v>
      </c>
      <c r="X1" s="458"/>
      <c r="Y1" s="459"/>
      <c r="Z1" s="195"/>
      <c r="AA1" s="160"/>
      <c r="AB1" s="196"/>
      <c r="AC1" s="457" t="s">
        <v>601</v>
      </c>
      <c r="AD1" s="458"/>
      <c r="AE1" s="459"/>
      <c r="AF1" s="457" t="s">
        <v>494</v>
      </c>
      <c r="AG1" s="458"/>
      <c r="AH1" s="459"/>
      <c r="AI1" s="457" t="s">
        <v>407</v>
      </c>
      <c r="AJ1" s="458"/>
      <c r="AK1" s="459"/>
      <c r="AL1" s="457" t="s">
        <v>313</v>
      </c>
      <c r="AM1" s="458"/>
      <c r="AN1" s="459"/>
      <c r="AO1" s="457" t="s">
        <v>227</v>
      </c>
      <c r="AP1" s="458"/>
      <c r="AQ1" s="459"/>
      <c r="AR1" s="457" t="s">
        <v>172</v>
      </c>
      <c r="AS1" s="458"/>
      <c r="AT1" s="459"/>
      <c r="AU1" s="457" t="s">
        <v>79</v>
      </c>
      <c r="AV1" s="458"/>
      <c r="AW1" s="459"/>
      <c r="AX1" s="457" t="s">
        <v>54</v>
      </c>
      <c r="AY1" s="458"/>
      <c r="AZ1" s="459"/>
      <c r="BA1" s="457" t="s">
        <v>50</v>
      </c>
      <c r="BB1" s="458"/>
      <c r="BC1" s="459"/>
      <c r="BD1" s="457" t="s">
        <v>37</v>
      </c>
      <c r="BE1" s="458"/>
      <c r="BF1" s="459"/>
      <c r="BG1" s="4"/>
      <c r="BH1" s="4"/>
      <c r="BI1" s="4"/>
      <c r="BL1" s="4"/>
    </row>
    <row r="2" spans="1:64" ht="14.95" customHeight="1" thickBot="1" x14ac:dyDescent="0.3">
      <c r="A2" s="313" t="s">
        <v>0</v>
      </c>
      <c r="B2" s="314" t="s">
        <v>226</v>
      </c>
      <c r="C2" s="315" t="s">
        <v>30</v>
      </c>
      <c r="D2" s="316" t="s">
        <v>339</v>
      </c>
      <c r="E2" s="317" t="s">
        <v>1</v>
      </c>
      <c r="F2" s="309" t="s">
        <v>2</v>
      </c>
      <c r="G2" s="143" t="s">
        <v>226</v>
      </c>
      <c r="H2" s="285" t="s">
        <v>30</v>
      </c>
      <c r="I2" s="223" t="s">
        <v>339</v>
      </c>
      <c r="J2" s="108" t="s">
        <v>1</v>
      </c>
      <c r="K2" s="495"/>
      <c r="L2" s="484"/>
      <c r="M2" s="485"/>
      <c r="N2" s="486"/>
      <c r="O2" s="484"/>
      <c r="P2" s="485"/>
      <c r="Q2" s="486"/>
      <c r="R2" s="484"/>
      <c r="S2" s="486"/>
      <c r="T2" s="460"/>
      <c r="U2" s="461"/>
      <c r="V2" s="462"/>
      <c r="W2" s="460"/>
      <c r="X2" s="461"/>
      <c r="Y2" s="462"/>
      <c r="Z2" s="195"/>
      <c r="AA2" s="160"/>
      <c r="AB2" s="196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A2" s="460"/>
      <c r="BB2" s="461"/>
      <c r="BC2" s="462"/>
      <c r="BD2" s="460"/>
      <c r="BE2" s="461"/>
      <c r="BF2" s="462"/>
    </row>
    <row r="3" spans="1:64" ht="14.95" customHeight="1" thickBot="1" x14ac:dyDescent="0.3">
      <c r="A3" s="312" t="s">
        <v>748</v>
      </c>
      <c r="B3" s="318">
        <v>1</v>
      </c>
      <c r="C3" s="319">
        <v>0</v>
      </c>
      <c r="D3" s="320">
        <v>0</v>
      </c>
      <c r="E3" s="321">
        <f t="shared" ref="E3:E48" si="0">SUM(B3:D3)</f>
        <v>1</v>
      </c>
      <c r="F3" s="310" t="s">
        <v>748</v>
      </c>
      <c r="G3" s="144">
        <v>5</v>
      </c>
      <c r="H3" s="286">
        <v>0</v>
      </c>
      <c r="I3" s="224">
        <v>0</v>
      </c>
      <c r="J3" s="75">
        <f t="shared" ref="J3:J41" si="1">SUM(G3:I3)</f>
        <v>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194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</row>
    <row r="4" spans="1:64" ht="14.95" customHeight="1" thickBot="1" x14ac:dyDescent="0.3">
      <c r="A4" s="312" t="s">
        <v>516</v>
      </c>
      <c r="B4" s="318">
        <v>0</v>
      </c>
      <c r="C4" s="319">
        <v>0</v>
      </c>
      <c r="D4" s="320">
        <v>0</v>
      </c>
      <c r="E4" s="321">
        <f t="shared" si="0"/>
        <v>0</v>
      </c>
      <c r="F4" s="310" t="s">
        <v>516</v>
      </c>
      <c r="G4" s="144">
        <v>0</v>
      </c>
      <c r="H4" s="286">
        <v>0</v>
      </c>
      <c r="I4" s="224">
        <v>0</v>
      </c>
      <c r="J4" s="75">
        <f t="shared" si="1"/>
        <v>0</v>
      </c>
      <c r="K4" s="312" t="s">
        <v>155</v>
      </c>
      <c r="L4" s="321" t="s">
        <v>15</v>
      </c>
      <c r="M4" s="321" t="s">
        <v>15</v>
      </c>
      <c r="N4" s="322" t="s">
        <v>15</v>
      </c>
      <c r="O4" s="321" t="s">
        <v>15</v>
      </c>
      <c r="P4" s="321" t="s">
        <v>15</v>
      </c>
      <c r="Q4" s="322" t="s">
        <v>15</v>
      </c>
      <c r="R4" s="321" t="s">
        <v>18</v>
      </c>
      <c r="S4" s="321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97"/>
      <c r="AC4" s="7" t="s">
        <v>15</v>
      </c>
      <c r="AD4" s="7" t="s">
        <v>15</v>
      </c>
      <c r="AE4" s="153" t="s">
        <v>15</v>
      </c>
      <c r="AF4" s="7" t="s">
        <v>15</v>
      </c>
      <c r="AG4" s="7" t="s">
        <v>15</v>
      </c>
      <c r="AH4" s="153" t="s">
        <v>15</v>
      </c>
      <c r="AI4" s="148" t="s">
        <v>15</v>
      </c>
      <c r="AJ4" s="7" t="s">
        <v>15</v>
      </c>
      <c r="AK4" s="7" t="s">
        <v>15</v>
      </c>
      <c r="AL4" s="148" t="s">
        <v>15</v>
      </c>
      <c r="AM4" s="7" t="s">
        <v>15</v>
      </c>
      <c r="AN4" s="7" t="s">
        <v>15</v>
      </c>
      <c r="AO4" s="148">
        <v>1</v>
      </c>
      <c r="AP4" s="7">
        <v>1</v>
      </c>
      <c r="AQ4" s="7">
        <v>100</v>
      </c>
      <c r="AR4" s="148" t="s">
        <v>15</v>
      </c>
      <c r="AS4" s="7" t="s">
        <v>15</v>
      </c>
      <c r="AT4" s="7" t="s">
        <v>15</v>
      </c>
      <c r="AU4" s="148">
        <v>1</v>
      </c>
      <c r="AV4" s="7">
        <v>2</v>
      </c>
      <c r="AW4" s="153">
        <f t="shared" ref="AW4" si="2">SUM(AU4/AV4)*100</f>
        <v>50</v>
      </c>
      <c r="AX4" s="148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</row>
    <row r="5" spans="1:64" ht="14.95" customHeight="1" thickBot="1" x14ac:dyDescent="0.3">
      <c r="A5" s="312" t="s">
        <v>751</v>
      </c>
      <c r="B5" s="318">
        <v>0</v>
      </c>
      <c r="C5" s="319">
        <v>1</v>
      </c>
      <c r="D5" s="320">
        <v>0</v>
      </c>
      <c r="E5" s="321">
        <f t="shared" si="0"/>
        <v>1</v>
      </c>
      <c r="F5" s="311" t="s">
        <v>751</v>
      </c>
      <c r="G5" s="144">
        <v>0</v>
      </c>
      <c r="H5" s="286">
        <v>5</v>
      </c>
      <c r="I5" s="224">
        <v>0</v>
      </c>
      <c r="J5" s="75">
        <f t="shared" si="1"/>
        <v>5</v>
      </c>
      <c r="K5" s="312" t="s">
        <v>99</v>
      </c>
      <c r="L5" s="321" t="s">
        <v>15</v>
      </c>
      <c r="M5" s="321" t="s">
        <v>15</v>
      </c>
      <c r="N5" s="322" t="s">
        <v>15</v>
      </c>
      <c r="O5" s="321">
        <v>1</v>
      </c>
      <c r="P5" s="321">
        <v>1</v>
      </c>
      <c r="Q5" s="322">
        <f t="shared" ref="Q5" si="3">SUM(O5/P5)*100</f>
        <v>100</v>
      </c>
      <c r="R5" s="321">
        <v>-1</v>
      </c>
      <c r="S5" s="321">
        <v>2</v>
      </c>
      <c r="T5" s="7">
        <v>1</v>
      </c>
      <c r="U5" s="7">
        <v>2</v>
      </c>
      <c r="V5" s="153">
        <v>50</v>
      </c>
      <c r="W5" s="7" t="s">
        <v>15</v>
      </c>
      <c r="X5" s="7" t="s">
        <v>15</v>
      </c>
      <c r="Y5" s="153" t="s">
        <v>15</v>
      </c>
      <c r="Z5" s="93"/>
      <c r="AA5" s="94"/>
      <c r="AB5" s="197"/>
      <c r="AC5" s="7">
        <v>0</v>
      </c>
      <c r="AD5" s="7">
        <v>1</v>
      </c>
      <c r="AE5" s="153">
        <v>0</v>
      </c>
      <c r="AF5" s="7">
        <v>2</v>
      </c>
      <c r="AG5" s="7">
        <v>6</v>
      </c>
      <c r="AH5" s="153">
        <f t="shared" ref="AH5" si="4">SUM(AF5/AG5)*100</f>
        <v>33.333333333333329</v>
      </c>
      <c r="AI5" s="148" t="s">
        <v>15</v>
      </c>
      <c r="AJ5" s="7" t="s">
        <v>15</v>
      </c>
      <c r="AK5" s="153" t="s">
        <v>15</v>
      </c>
      <c r="AL5" s="148">
        <v>0</v>
      </c>
      <c r="AM5" s="7">
        <v>2</v>
      </c>
      <c r="AN5" s="153">
        <v>0</v>
      </c>
      <c r="AO5" s="148">
        <v>0</v>
      </c>
      <c r="AP5" s="7">
        <v>1</v>
      </c>
      <c r="AQ5" s="153">
        <f t="shared" ref="AQ5" si="5">SUM(AO5/AP5)*100</f>
        <v>0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148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</row>
    <row r="6" spans="1:64" ht="14.95" customHeight="1" thickBot="1" x14ac:dyDescent="0.3">
      <c r="A6" s="312" t="s">
        <v>155</v>
      </c>
      <c r="B6" s="318">
        <v>0</v>
      </c>
      <c r="C6" s="319">
        <v>0</v>
      </c>
      <c r="D6" s="320">
        <v>0</v>
      </c>
      <c r="E6" s="321">
        <f t="shared" si="0"/>
        <v>0</v>
      </c>
      <c r="F6" s="311" t="s">
        <v>155</v>
      </c>
      <c r="G6" s="144">
        <v>0</v>
      </c>
      <c r="H6" s="286">
        <v>0</v>
      </c>
      <c r="I6" s="224">
        <v>0</v>
      </c>
      <c r="J6" s="75">
        <f t="shared" si="1"/>
        <v>0</v>
      </c>
      <c r="K6" s="312" t="s">
        <v>157</v>
      </c>
      <c r="L6" s="321">
        <v>6</v>
      </c>
      <c r="M6" s="321">
        <v>7</v>
      </c>
      <c r="N6" s="322">
        <f t="shared" ref="N6" si="6">SUM(L6/M6)*100</f>
        <v>85.714285714285708</v>
      </c>
      <c r="O6" s="321" t="s">
        <v>15</v>
      </c>
      <c r="P6" s="321" t="s">
        <v>15</v>
      </c>
      <c r="Q6" s="322" t="s">
        <v>15</v>
      </c>
      <c r="R6" s="321">
        <v>-1</v>
      </c>
      <c r="S6" s="321">
        <v>-1</v>
      </c>
      <c r="T6" s="7">
        <v>38</v>
      </c>
      <c r="U6" s="7">
        <v>55</v>
      </c>
      <c r="V6" s="153">
        <v>69.090909090909093</v>
      </c>
      <c r="W6" s="7">
        <v>17</v>
      </c>
      <c r="X6" s="7">
        <v>23</v>
      </c>
      <c r="Y6" s="153">
        <v>73.91304347826086</v>
      </c>
      <c r="Z6" s="93"/>
      <c r="AA6" s="94"/>
      <c r="AB6" s="197"/>
      <c r="AC6" s="7">
        <v>63</v>
      </c>
      <c r="AD6" s="7">
        <v>85</v>
      </c>
      <c r="AE6" s="153">
        <v>74.117647058823536</v>
      </c>
      <c r="AF6" s="7">
        <v>24</v>
      </c>
      <c r="AG6" s="7">
        <v>30</v>
      </c>
      <c r="AH6" s="153">
        <f t="shared" ref="AH6" si="7">SUM(AF6/AG6)*100</f>
        <v>80</v>
      </c>
      <c r="AI6" s="148">
        <v>21</v>
      </c>
      <c r="AJ6" s="7">
        <v>29</v>
      </c>
      <c r="AK6" s="153">
        <f t="shared" ref="AK6" si="8">SUM(AI6/AJ6)*100</f>
        <v>72.41379310344827</v>
      </c>
      <c r="AL6" s="148">
        <v>52</v>
      </c>
      <c r="AM6" s="7">
        <v>77</v>
      </c>
      <c r="AN6" s="153">
        <f t="shared" ref="AN6" si="9">SUM(AL6/AM6)*100</f>
        <v>67.532467532467535</v>
      </c>
      <c r="AO6" s="148">
        <v>26</v>
      </c>
      <c r="AP6" s="7">
        <v>34</v>
      </c>
      <c r="AQ6" s="153">
        <f t="shared" ref="AQ6" si="10">SUM(AO6/AP6)*100</f>
        <v>76.470588235294116</v>
      </c>
      <c r="AR6" s="148" t="s">
        <v>15</v>
      </c>
      <c r="AS6" s="7" t="s">
        <v>15</v>
      </c>
      <c r="AT6" s="7" t="s">
        <v>15</v>
      </c>
      <c r="AU6" s="148" t="s">
        <v>15</v>
      </c>
      <c r="AV6" s="7" t="s">
        <v>15</v>
      </c>
      <c r="AW6" s="7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</row>
    <row r="7" spans="1:64" ht="14.95" customHeight="1" thickBot="1" x14ac:dyDescent="0.3">
      <c r="A7" s="312" t="s">
        <v>367</v>
      </c>
      <c r="B7" s="318">
        <v>0</v>
      </c>
      <c r="C7" s="319">
        <v>0</v>
      </c>
      <c r="D7" s="320">
        <v>0</v>
      </c>
      <c r="E7" s="321">
        <f t="shared" si="0"/>
        <v>0</v>
      </c>
      <c r="F7" s="311" t="s">
        <v>367</v>
      </c>
      <c r="G7" s="144">
        <v>0</v>
      </c>
      <c r="H7" s="286">
        <v>0</v>
      </c>
      <c r="I7" s="224">
        <v>0</v>
      </c>
      <c r="J7" s="75">
        <f t="shared" si="1"/>
        <v>0</v>
      </c>
      <c r="K7" s="312" t="s">
        <v>483</v>
      </c>
      <c r="L7" s="321">
        <v>28</v>
      </c>
      <c r="M7" s="321">
        <v>36</v>
      </c>
      <c r="N7" s="322">
        <f t="shared" ref="N7" si="11">SUM(L7/M7)*100</f>
        <v>77.777777777777786</v>
      </c>
      <c r="O7" s="321" t="s">
        <v>15</v>
      </c>
      <c r="P7" s="321" t="s">
        <v>15</v>
      </c>
      <c r="Q7" s="322" t="s">
        <v>15</v>
      </c>
      <c r="R7" s="321">
        <v>3</v>
      </c>
      <c r="S7" s="321">
        <v>1</v>
      </c>
      <c r="T7" s="7">
        <v>39</v>
      </c>
      <c r="U7" s="7">
        <v>47</v>
      </c>
      <c r="V7" s="153">
        <v>82.978723404255319</v>
      </c>
      <c r="W7" s="7">
        <v>43</v>
      </c>
      <c r="X7" s="7">
        <v>62</v>
      </c>
      <c r="Y7" s="153">
        <v>69.354838709677423</v>
      </c>
      <c r="Z7" s="93"/>
      <c r="AA7" s="94"/>
      <c r="AB7" s="197"/>
      <c r="AC7" s="7">
        <v>26</v>
      </c>
      <c r="AD7" s="7">
        <v>30</v>
      </c>
      <c r="AE7" s="153">
        <v>86.666666666666671</v>
      </c>
      <c r="AF7" s="7">
        <v>81</v>
      </c>
      <c r="AG7" s="7">
        <v>109</v>
      </c>
      <c r="AH7" s="153">
        <v>74.311926605504581</v>
      </c>
      <c r="AI7" s="148">
        <v>27</v>
      </c>
      <c r="AJ7" s="7">
        <v>32</v>
      </c>
      <c r="AK7" s="153">
        <v>84.375</v>
      </c>
      <c r="AL7" s="148">
        <v>35</v>
      </c>
      <c r="AM7" s="7">
        <v>40</v>
      </c>
      <c r="AN7" s="153">
        <v>87.5</v>
      </c>
      <c r="AO7" s="148">
        <v>77</v>
      </c>
      <c r="AP7" s="7">
        <v>91</v>
      </c>
      <c r="AQ7" s="153">
        <v>84.615384615384613</v>
      </c>
      <c r="AR7" s="148">
        <v>61</v>
      </c>
      <c r="AS7" s="7">
        <v>77</v>
      </c>
      <c r="AT7" s="7">
        <v>79</v>
      </c>
      <c r="AU7" s="148">
        <v>51</v>
      </c>
      <c r="AV7" s="7">
        <v>70</v>
      </c>
      <c r="AW7" s="7">
        <v>73</v>
      </c>
      <c r="AX7" s="148">
        <v>37</v>
      </c>
      <c r="AY7" s="7">
        <v>50</v>
      </c>
      <c r="AZ7" s="7">
        <v>74</v>
      </c>
      <c r="BA7" s="7">
        <v>85</v>
      </c>
      <c r="BB7" s="7">
        <v>102</v>
      </c>
      <c r="BC7" s="7">
        <v>83</v>
      </c>
      <c r="BD7" s="7">
        <v>87</v>
      </c>
      <c r="BE7" s="7">
        <v>122</v>
      </c>
      <c r="BF7" s="7">
        <v>71</v>
      </c>
    </row>
    <row r="8" spans="1:64" ht="14.95" customHeight="1" thickBot="1" x14ac:dyDescent="0.3">
      <c r="A8" s="312" t="s">
        <v>835</v>
      </c>
      <c r="B8" s="318">
        <v>0</v>
      </c>
      <c r="C8" s="319">
        <v>0</v>
      </c>
      <c r="D8" s="320">
        <v>0</v>
      </c>
      <c r="E8" s="321">
        <f t="shared" si="0"/>
        <v>0</v>
      </c>
      <c r="F8" s="311" t="s">
        <v>835</v>
      </c>
      <c r="G8" s="144">
        <v>0</v>
      </c>
      <c r="H8" s="286">
        <v>0</v>
      </c>
      <c r="I8" s="224">
        <v>0</v>
      </c>
      <c r="J8" s="75">
        <f t="shared" si="1"/>
        <v>0</v>
      </c>
      <c r="K8" s="312" t="s">
        <v>354</v>
      </c>
      <c r="L8" s="321" t="s">
        <v>15</v>
      </c>
      <c r="M8" s="321" t="s">
        <v>15</v>
      </c>
      <c r="N8" s="322" t="s">
        <v>15</v>
      </c>
      <c r="O8" s="321" t="s">
        <v>15</v>
      </c>
      <c r="P8" s="321" t="s">
        <v>15</v>
      </c>
      <c r="Q8" s="322" t="s">
        <v>15</v>
      </c>
      <c r="R8" s="321" t="s">
        <v>18</v>
      </c>
      <c r="S8" s="321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7" t="s">
        <v>15</v>
      </c>
      <c r="AJ8" s="7" t="s">
        <v>15</v>
      </c>
      <c r="AK8" s="153" t="s">
        <v>15</v>
      </c>
      <c r="AL8" s="7" t="s">
        <v>15</v>
      </c>
      <c r="AM8" s="7" t="s">
        <v>15</v>
      </c>
      <c r="AN8" s="153" t="s">
        <v>15</v>
      </c>
      <c r="AO8" s="7" t="s">
        <v>15</v>
      </c>
      <c r="AP8" s="7" t="s">
        <v>15</v>
      </c>
      <c r="AQ8" s="153" t="s">
        <v>15</v>
      </c>
      <c r="AR8" s="7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</row>
    <row r="9" spans="1:64" ht="14.95" customHeight="1" thickBot="1" x14ac:dyDescent="0.3">
      <c r="A9" s="312" t="s">
        <v>456</v>
      </c>
      <c r="B9" s="318">
        <v>0</v>
      </c>
      <c r="C9" s="319">
        <v>0</v>
      </c>
      <c r="D9" s="320">
        <v>1</v>
      </c>
      <c r="E9" s="321">
        <f t="shared" si="0"/>
        <v>1</v>
      </c>
      <c r="F9" s="311" t="s">
        <v>456</v>
      </c>
      <c r="G9" s="144">
        <v>0</v>
      </c>
      <c r="H9" s="286">
        <v>0</v>
      </c>
      <c r="I9" s="224">
        <v>5</v>
      </c>
      <c r="J9" s="75">
        <f t="shared" si="1"/>
        <v>5</v>
      </c>
    </row>
    <row r="10" spans="1:64" ht="14.95" customHeight="1" thickBot="1" x14ac:dyDescent="0.3">
      <c r="A10" s="312" t="s">
        <v>397</v>
      </c>
      <c r="B10" s="318">
        <v>1</v>
      </c>
      <c r="C10" s="319">
        <v>0</v>
      </c>
      <c r="D10" s="320">
        <v>0</v>
      </c>
      <c r="E10" s="321">
        <f t="shared" si="0"/>
        <v>1</v>
      </c>
      <c r="F10" s="311" t="s">
        <v>397</v>
      </c>
      <c r="G10" s="144">
        <v>5</v>
      </c>
      <c r="H10" s="286">
        <v>0</v>
      </c>
      <c r="I10" s="224">
        <v>0</v>
      </c>
      <c r="J10" s="75">
        <f t="shared" si="1"/>
        <v>5</v>
      </c>
      <c r="K10" s="534" t="s">
        <v>195</v>
      </c>
      <c r="L10" s="481" t="s">
        <v>14</v>
      </c>
      <c r="M10" s="482"/>
      <c r="N10" s="483"/>
      <c r="O10" s="457" t="s">
        <v>234</v>
      </c>
      <c r="P10" s="458"/>
      <c r="Q10" s="459"/>
      <c r="R10" s="457" t="s">
        <v>903</v>
      </c>
      <c r="S10" s="458"/>
      <c r="T10" s="459"/>
      <c r="U10" s="457" t="s">
        <v>601</v>
      </c>
      <c r="V10" s="458"/>
      <c r="W10" s="459"/>
      <c r="X10" s="85"/>
      <c r="Y10" s="85"/>
      <c r="Z10" s="85"/>
      <c r="AC10" s="457" t="s">
        <v>494</v>
      </c>
      <c r="AD10" s="458"/>
      <c r="AE10" s="459"/>
      <c r="AF10" s="457" t="s">
        <v>407</v>
      </c>
      <c r="AG10" s="458"/>
      <c r="AH10" s="459"/>
      <c r="AI10" s="457" t="s">
        <v>313</v>
      </c>
      <c r="AJ10" s="458"/>
      <c r="AK10" s="459"/>
      <c r="AL10" s="465" t="s">
        <v>227</v>
      </c>
      <c r="AM10" s="466"/>
      <c r="AN10" s="467"/>
      <c r="AO10" s="465" t="s">
        <v>172</v>
      </c>
      <c r="AP10" s="466"/>
      <c r="AQ10" s="467"/>
      <c r="AR10" s="465" t="s">
        <v>79</v>
      </c>
      <c r="AS10" s="466"/>
      <c r="AT10" s="467"/>
      <c r="AU10" s="465" t="s">
        <v>54</v>
      </c>
      <c r="AV10" s="466"/>
      <c r="AW10" s="467"/>
      <c r="AX10" s="465" t="s">
        <v>50</v>
      </c>
      <c r="AY10" s="466"/>
      <c r="AZ10" s="467"/>
      <c r="BA10" s="465" t="s">
        <v>37</v>
      </c>
      <c r="BB10" s="466"/>
      <c r="BC10" s="467"/>
    </row>
    <row r="11" spans="1:64" ht="14.95" customHeight="1" thickBot="1" x14ac:dyDescent="0.3">
      <c r="A11" s="312" t="s">
        <v>33</v>
      </c>
      <c r="B11" s="318">
        <v>2</v>
      </c>
      <c r="C11" s="319">
        <v>0</v>
      </c>
      <c r="D11" s="320">
        <v>0</v>
      </c>
      <c r="E11" s="321">
        <f t="shared" si="0"/>
        <v>2</v>
      </c>
      <c r="F11" s="311" t="s">
        <v>33</v>
      </c>
      <c r="G11" s="144">
        <v>10</v>
      </c>
      <c r="H11" s="286">
        <v>0</v>
      </c>
      <c r="I11" s="224">
        <v>0</v>
      </c>
      <c r="J11" s="75">
        <f t="shared" si="1"/>
        <v>10</v>
      </c>
      <c r="K11" s="535"/>
      <c r="L11" s="484"/>
      <c r="M11" s="485"/>
      <c r="N11" s="486"/>
      <c r="O11" s="460"/>
      <c r="P11" s="461"/>
      <c r="Q11" s="462"/>
      <c r="R11" s="460"/>
      <c r="S11" s="461"/>
      <c r="T11" s="462"/>
      <c r="U11" s="460"/>
      <c r="V11" s="461"/>
      <c r="W11" s="462"/>
      <c r="X11" s="85"/>
      <c r="Y11" s="85"/>
      <c r="Z11" s="85"/>
      <c r="AC11" s="460"/>
      <c r="AD11" s="461"/>
      <c r="AE11" s="462"/>
      <c r="AF11" s="460"/>
      <c r="AG11" s="461"/>
      <c r="AH11" s="462"/>
      <c r="AI11" s="460"/>
      <c r="AJ11" s="461"/>
      <c r="AK11" s="462"/>
      <c r="AL11" s="468"/>
      <c r="AM11" s="469"/>
      <c r="AN11" s="470"/>
      <c r="AO11" s="468"/>
      <c r="AP11" s="469"/>
      <c r="AQ11" s="470"/>
      <c r="AR11" s="468"/>
      <c r="AS11" s="469"/>
      <c r="AT11" s="470"/>
      <c r="AU11" s="468"/>
      <c r="AV11" s="469"/>
      <c r="AW11" s="470"/>
      <c r="AX11" s="468"/>
      <c r="AY11" s="469"/>
      <c r="AZ11" s="470"/>
      <c r="BA11" s="468"/>
      <c r="BB11" s="469"/>
      <c r="BC11" s="470"/>
    </row>
    <row r="12" spans="1:64" ht="14.95" customHeight="1" thickBot="1" x14ac:dyDescent="0.3">
      <c r="A12" s="312" t="s">
        <v>57</v>
      </c>
      <c r="B12" s="318">
        <v>0</v>
      </c>
      <c r="C12" s="319">
        <v>0</v>
      </c>
      <c r="D12" s="320">
        <v>0</v>
      </c>
      <c r="E12" s="321">
        <f t="shared" si="0"/>
        <v>0</v>
      </c>
      <c r="F12" s="311" t="s">
        <v>57</v>
      </c>
      <c r="G12" s="144">
        <v>0</v>
      </c>
      <c r="H12" s="286">
        <v>0</v>
      </c>
      <c r="I12" s="224">
        <v>0</v>
      </c>
      <c r="J12" s="75">
        <f t="shared" si="1"/>
        <v>0</v>
      </c>
      <c r="K12" s="252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148" t="s">
        <v>46</v>
      </c>
      <c r="AJ12" s="7" t="s">
        <v>9</v>
      </c>
      <c r="AK12" s="7" t="s">
        <v>10</v>
      </c>
      <c r="AL12" s="84" t="s">
        <v>46</v>
      </c>
      <c r="AM12" s="79" t="s">
        <v>9</v>
      </c>
      <c r="AN12" s="79" t="s">
        <v>10</v>
      </c>
      <c r="AO12" s="84" t="s">
        <v>46</v>
      </c>
      <c r="AP12" s="79" t="s">
        <v>9</v>
      </c>
      <c r="AQ12" s="79" t="s">
        <v>10</v>
      </c>
      <c r="AR12" s="84" t="s">
        <v>46</v>
      </c>
      <c r="AS12" s="79" t="s">
        <v>9</v>
      </c>
      <c r="AT12" s="79" t="s">
        <v>10</v>
      </c>
      <c r="AU12" s="84" t="s">
        <v>46</v>
      </c>
      <c r="AV12" s="79" t="s">
        <v>9</v>
      </c>
      <c r="AW12" s="79" t="s">
        <v>10</v>
      </c>
      <c r="AX12" s="84" t="s">
        <v>46</v>
      </c>
      <c r="AY12" s="79" t="s">
        <v>9</v>
      </c>
      <c r="AZ12" s="79" t="s">
        <v>10</v>
      </c>
      <c r="BA12" s="97" t="s">
        <v>46</v>
      </c>
      <c r="BB12" s="99" t="s">
        <v>9</v>
      </c>
      <c r="BC12" s="99" t="s">
        <v>10</v>
      </c>
    </row>
    <row r="13" spans="1:64" ht="14.95" customHeight="1" thickBot="1" x14ac:dyDescent="0.3">
      <c r="A13" s="312" t="s">
        <v>55</v>
      </c>
      <c r="B13" s="318">
        <v>0</v>
      </c>
      <c r="C13" s="319">
        <v>0</v>
      </c>
      <c r="D13" s="320">
        <v>0</v>
      </c>
      <c r="E13" s="321">
        <f t="shared" si="0"/>
        <v>0</v>
      </c>
      <c r="F13" s="311" t="s">
        <v>55</v>
      </c>
      <c r="G13" s="144">
        <v>0</v>
      </c>
      <c r="H13" s="286">
        <v>0</v>
      </c>
      <c r="I13" s="224">
        <v>0</v>
      </c>
      <c r="J13" s="75">
        <f t="shared" si="1"/>
        <v>0</v>
      </c>
      <c r="K13" s="312" t="s">
        <v>155</v>
      </c>
      <c r="L13" s="321" t="s">
        <v>15</v>
      </c>
      <c r="M13" s="321" t="s">
        <v>15</v>
      </c>
      <c r="N13" s="322" t="s">
        <v>15</v>
      </c>
      <c r="O13" s="7" t="s">
        <v>15</v>
      </c>
      <c r="P13" s="7" t="s">
        <v>15</v>
      </c>
      <c r="Q13" s="153" t="s">
        <v>15</v>
      </c>
      <c r="R13" s="7">
        <v>1</v>
      </c>
      <c r="S13" s="7">
        <v>2</v>
      </c>
      <c r="T13" s="153">
        <v>50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 t="s">
        <v>15</v>
      </c>
      <c r="AS13" s="7" t="s">
        <v>15</v>
      </c>
      <c r="AT13" s="7" t="s">
        <v>15</v>
      </c>
      <c r="AU13" s="6" t="s">
        <v>15</v>
      </c>
      <c r="AV13" s="7" t="s">
        <v>15</v>
      </c>
      <c r="AW13" s="7" t="s">
        <v>15</v>
      </c>
      <c r="AX13" s="6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  <c r="BD13" s="80"/>
      <c r="BE13" s="80"/>
    </row>
    <row r="14" spans="1:64" ht="14.95" customHeight="1" thickBot="1" x14ac:dyDescent="0.3">
      <c r="A14" s="312" t="s">
        <v>185</v>
      </c>
      <c r="B14" s="318">
        <v>0</v>
      </c>
      <c r="C14" s="319">
        <v>1</v>
      </c>
      <c r="D14" s="320">
        <v>0</v>
      </c>
      <c r="E14" s="321">
        <f t="shared" si="0"/>
        <v>1</v>
      </c>
      <c r="F14" s="311" t="s">
        <v>99</v>
      </c>
      <c r="G14" s="144">
        <v>0</v>
      </c>
      <c r="H14" s="286">
        <v>7</v>
      </c>
      <c r="I14" s="224">
        <v>12</v>
      </c>
      <c r="J14" s="75">
        <f t="shared" si="1"/>
        <v>19</v>
      </c>
      <c r="K14" s="312" t="s">
        <v>99</v>
      </c>
      <c r="L14" s="321">
        <v>1</v>
      </c>
      <c r="M14" s="321">
        <v>1</v>
      </c>
      <c r="N14" s="322">
        <f t="shared" ref="N14" si="12">SUM(L14/M14)*100</f>
        <v>100</v>
      </c>
      <c r="O14" s="7" t="s">
        <v>15</v>
      </c>
      <c r="P14" s="7" t="s">
        <v>15</v>
      </c>
      <c r="Q14" s="153" t="s">
        <v>15</v>
      </c>
      <c r="R14" s="7">
        <v>2</v>
      </c>
      <c r="S14" s="7">
        <v>2</v>
      </c>
      <c r="T14" s="153">
        <v>100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>
        <v>1</v>
      </c>
      <c r="AJ14" s="7">
        <v>1</v>
      </c>
      <c r="AK14" s="153">
        <v>100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 t="s">
        <v>15</v>
      </c>
      <c r="AS14" s="7" t="s">
        <v>15</v>
      </c>
      <c r="AT14" s="7" t="s">
        <v>15</v>
      </c>
      <c r="AU14" s="6" t="s">
        <v>15</v>
      </c>
      <c r="AV14" s="7" t="s">
        <v>15</v>
      </c>
      <c r="AW14" s="7" t="s">
        <v>15</v>
      </c>
      <c r="AX14" s="6" t="s">
        <v>15</v>
      </c>
      <c r="AY14" s="7" t="s">
        <v>15</v>
      </c>
      <c r="AZ14" s="7" t="s">
        <v>15</v>
      </c>
      <c r="BA14" s="6" t="s">
        <v>15</v>
      </c>
      <c r="BB14" s="7" t="s">
        <v>15</v>
      </c>
      <c r="BC14" s="7" t="s">
        <v>15</v>
      </c>
      <c r="BD14" s="80"/>
      <c r="BE14" s="80"/>
    </row>
    <row r="15" spans="1:64" ht="14.95" customHeight="1" thickBot="1" x14ac:dyDescent="0.3">
      <c r="A15" s="312" t="s">
        <v>938</v>
      </c>
      <c r="B15" s="318">
        <v>0</v>
      </c>
      <c r="C15" s="319">
        <v>1</v>
      </c>
      <c r="D15" s="320">
        <v>1</v>
      </c>
      <c r="E15" s="321">
        <f t="shared" si="0"/>
        <v>2</v>
      </c>
      <c r="F15" s="311" t="s">
        <v>938</v>
      </c>
      <c r="G15" s="144">
        <v>0</v>
      </c>
      <c r="H15" s="286">
        <v>5</v>
      </c>
      <c r="I15" s="224">
        <v>5</v>
      </c>
      <c r="J15" s="75">
        <f t="shared" si="1"/>
        <v>10</v>
      </c>
      <c r="K15" s="312" t="s">
        <v>157</v>
      </c>
      <c r="L15" s="321">
        <v>7</v>
      </c>
      <c r="M15" s="321">
        <v>10</v>
      </c>
      <c r="N15" s="322">
        <f t="shared" ref="N15" si="13">SUM(L15/M15)*100</f>
        <v>70</v>
      </c>
      <c r="O15" s="7">
        <v>6</v>
      </c>
      <c r="P15" s="7">
        <v>8</v>
      </c>
      <c r="Q15" s="153">
        <v>75</v>
      </c>
      <c r="R15" s="7">
        <v>9</v>
      </c>
      <c r="S15" s="7">
        <v>9</v>
      </c>
      <c r="T15" s="153">
        <v>100</v>
      </c>
      <c r="U15" s="7">
        <v>9</v>
      </c>
      <c r="V15" s="7">
        <v>14</v>
      </c>
      <c r="W15" s="153">
        <v>64.285714285714292</v>
      </c>
      <c r="AC15" s="148">
        <v>17</v>
      </c>
      <c r="AD15" s="7">
        <v>22</v>
      </c>
      <c r="AE15" s="153">
        <f t="shared" ref="AE15" si="14">SUM(AC15/AD15)*100</f>
        <v>77.272727272727266</v>
      </c>
      <c r="AF15" s="148">
        <v>2</v>
      </c>
      <c r="AG15" s="7">
        <v>3</v>
      </c>
      <c r="AH15" s="153">
        <f t="shared" ref="AH15" si="15">SUM(AF15/AG15)*100</f>
        <v>66.666666666666657</v>
      </c>
      <c r="AI15" s="148">
        <v>2</v>
      </c>
      <c r="AJ15" s="7">
        <v>4</v>
      </c>
      <c r="AK15" s="153">
        <v>50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6" t="s">
        <v>15</v>
      </c>
      <c r="AV15" s="7" t="s">
        <v>15</v>
      </c>
      <c r="AW15" s="7" t="s">
        <v>15</v>
      </c>
      <c r="AX15" s="6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  <c r="BD15" s="80"/>
      <c r="BE15" s="80"/>
    </row>
    <row r="16" spans="1:64" ht="14.95" customHeight="1" thickBot="1" x14ac:dyDescent="0.3">
      <c r="A16" s="312" t="s">
        <v>182</v>
      </c>
      <c r="B16" s="318">
        <v>0</v>
      </c>
      <c r="C16" s="319">
        <v>0</v>
      </c>
      <c r="D16" s="320">
        <v>0</v>
      </c>
      <c r="E16" s="321">
        <f t="shared" si="0"/>
        <v>0</v>
      </c>
      <c r="F16" s="311" t="s">
        <v>182</v>
      </c>
      <c r="G16" s="144">
        <v>0</v>
      </c>
      <c r="H16" s="286">
        <v>0</v>
      </c>
      <c r="I16" s="224">
        <v>0</v>
      </c>
      <c r="J16" s="75">
        <f t="shared" si="1"/>
        <v>0</v>
      </c>
      <c r="K16" s="312" t="s">
        <v>483</v>
      </c>
      <c r="L16" s="321">
        <v>3</v>
      </c>
      <c r="M16" s="321">
        <v>4</v>
      </c>
      <c r="N16" s="322">
        <v>75</v>
      </c>
      <c r="O16" s="7">
        <v>5</v>
      </c>
      <c r="P16" s="7">
        <v>7</v>
      </c>
      <c r="Q16" s="153">
        <v>71.428571428571431</v>
      </c>
      <c r="R16" s="7">
        <v>4</v>
      </c>
      <c r="S16" s="7">
        <v>6</v>
      </c>
      <c r="T16" s="153">
        <v>66.666666666666657</v>
      </c>
      <c r="U16" s="7" t="s">
        <v>15</v>
      </c>
      <c r="V16" s="7" t="s">
        <v>15</v>
      </c>
      <c r="W16" s="153" t="s">
        <v>15</v>
      </c>
      <c r="AC16" s="148">
        <v>10</v>
      </c>
      <c r="AD16" s="7">
        <v>15</v>
      </c>
      <c r="AE16" s="153">
        <v>66.666666666666657</v>
      </c>
      <c r="AF16" s="148" t="s">
        <v>15</v>
      </c>
      <c r="AG16" s="7" t="s">
        <v>15</v>
      </c>
      <c r="AH16" s="153" t="s">
        <v>15</v>
      </c>
      <c r="AI16" s="148">
        <v>16</v>
      </c>
      <c r="AJ16" s="7">
        <v>19</v>
      </c>
      <c r="AK16" s="153">
        <v>84.210526315789465</v>
      </c>
      <c r="AL16" s="148">
        <v>17</v>
      </c>
      <c r="AM16" s="7">
        <v>21</v>
      </c>
      <c r="AN16" s="7">
        <v>81</v>
      </c>
      <c r="AO16" s="148">
        <v>21</v>
      </c>
      <c r="AP16" s="7">
        <v>24</v>
      </c>
      <c r="AQ16" s="7">
        <v>88</v>
      </c>
      <c r="AR16" s="148">
        <v>20</v>
      </c>
      <c r="AS16" s="7">
        <v>25</v>
      </c>
      <c r="AT16" s="7">
        <v>80</v>
      </c>
      <c r="AU16" s="6">
        <v>15</v>
      </c>
      <c r="AV16" s="7">
        <v>21</v>
      </c>
      <c r="AW16" s="7">
        <v>71</v>
      </c>
      <c r="AX16" s="6">
        <v>27</v>
      </c>
      <c r="AY16" s="7">
        <v>34</v>
      </c>
      <c r="AZ16" s="7">
        <v>79</v>
      </c>
      <c r="BA16" s="7">
        <v>27</v>
      </c>
      <c r="BB16" s="7">
        <v>40</v>
      </c>
      <c r="BC16" s="7">
        <v>68</v>
      </c>
      <c r="BD16" s="80"/>
      <c r="BE16" s="80"/>
    </row>
    <row r="17" spans="1:57" ht="14.95" customHeight="1" thickBot="1" x14ac:dyDescent="0.3">
      <c r="A17" s="312" t="s">
        <v>157</v>
      </c>
      <c r="B17" s="318">
        <v>2</v>
      </c>
      <c r="C17" s="319">
        <v>0</v>
      </c>
      <c r="D17" s="320">
        <v>0</v>
      </c>
      <c r="E17" s="321">
        <f t="shared" si="0"/>
        <v>2</v>
      </c>
      <c r="F17" s="311" t="s">
        <v>157</v>
      </c>
      <c r="G17" s="144">
        <v>22</v>
      </c>
      <c r="H17" s="286">
        <v>16</v>
      </c>
      <c r="I17" s="224">
        <v>9</v>
      </c>
      <c r="J17" s="75">
        <f t="shared" si="1"/>
        <v>47</v>
      </c>
      <c r="AF17" s="81" t="s">
        <v>21</v>
      </c>
      <c r="AG17" s="81" t="s">
        <v>21</v>
      </c>
    </row>
    <row r="18" spans="1:57" ht="14.95" customHeight="1" thickBot="1" x14ac:dyDescent="0.3">
      <c r="A18" s="312" t="s">
        <v>361</v>
      </c>
      <c r="B18" s="318">
        <v>0</v>
      </c>
      <c r="C18" s="319">
        <v>0</v>
      </c>
      <c r="D18" s="320">
        <v>2</v>
      </c>
      <c r="E18" s="321">
        <f t="shared" si="0"/>
        <v>2</v>
      </c>
      <c r="F18" s="311" t="s">
        <v>361</v>
      </c>
      <c r="G18" s="144">
        <v>0</v>
      </c>
      <c r="H18" s="286">
        <v>0</v>
      </c>
      <c r="I18" s="224">
        <v>10</v>
      </c>
      <c r="J18" s="75">
        <f t="shared" si="1"/>
        <v>10</v>
      </c>
      <c r="K18" s="532" t="s">
        <v>196</v>
      </c>
      <c r="L18" s="457" t="s">
        <v>14</v>
      </c>
      <c r="M18" s="458"/>
      <c r="N18" s="459"/>
      <c r="O18" s="457" t="s">
        <v>234</v>
      </c>
      <c r="P18" s="458"/>
      <c r="Q18" s="459"/>
      <c r="R18" s="457" t="s">
        <v>903</v>
      </c>
      <c r="S18" s="458"/>
      <c r="T18" s="459"/>
      <c r="U18" s="457" t="s">
        <v>601</v>
      </c>
      <c r="V18" s="458"/>
      <c r="W18" s="459"/>
      <c r="AC18" s="457" t="s">
        <v>494</v>
      </c>
      <c r="AD18" s="458"/>
      <c r="AE18" s="459"/>
      <c r="AF18" s="457" t="s">
        <v>407</v>
      </c>
      <c r="AG18" s="458"/>
      <c r="AH18" s="459"/>
      <c r="AI18" s="457" t="s">
        <v>313</v>
      </c>
      <c r="AJ18" s="458"/>
      <c r="AK18" s="459"/>
      <c r="AL18" s="465" t="s">
        <v>227</v>
      </c>
      <c r="AM18" s="466"/>
      <c r="AN18" s="467"/>
      <c r="AO18" s="465" t="s">
        <v>172</v>
      </c>
      <c r="AP18" s="466"/>
      <c r="AQ18" s="467"/>
      <c r="AR18" s="465" t="s">
        <v>79</v>
      </c>
      <c r="AS18" s="466"/>
      <c r="AT18" s="467"/>
      <c r="AU18" s="465" t="s">
        <v>54</v>
      </c>
      <c r="AV18" s="466"/>
      <c r="AW18" s="467"/>
      <c r="AX18" s="465" t="s">
        <v>50</v>
      </c>
      <c r="AY18" s="466"/>
      <c r="AZ18" s="467"/>
      <c r="BA18" s="465" t="s">
        <v>37</v>
      </c>
      <c r="BB18" s="466"/>
      <c r="BC18" s="467"/>
    </row>
    <row r="19" spans="1:57" ht="14.95" customHeight="1" thickBot="1" x14ac:dyDescent="0.3">
      <c r="A19" s="312" t="s">
        <v>517</v>
      </c>
      <c r="B19" s="318">
        <v>0</v>
      </c>
      <c r="C19" s="319">
        <v>0</v>
      </c>
      <c r="D19" s="320">
        <v>0</v>
      </c>
      <c r="E19" s="321">
        <f t="shared" si="0"/>
        <v>0</v>
      </c>
      <c r="F19" s="311" t="s">
        <v>517</v>
      </c>
      <c r="G19" s="144">
        <v>0</v>
      </c>
      <c r="H19" s="286">
        <v>0</v>
      </c>
      <c r="I19" s="224">
        <v>0</v>
      </c>
      <c r="J19" s="75">
        <f t="shared" si="1"/>
        <v>0</v>
      </c>
      <c r="K19" s="533"/>
      <c r="L19" s="460"/>
      <c r="M19" s="461"/>
      <c r="N19" s="462"/>
      <c r="O19" s="460"/>
      <c r="P19" s="461"/>
      <c r="Q19" s="462"/>
      <c r="R19" s="460"/>
      <c r="S19" s="461"/>
      <c r="T19" s="462"/>
      <c r="U19" s="460"/>
      <c r="V19" s="461"/>
      <c r="W19" s="462"/>
      <c r="AC19" s="460"/>
      <c r="AD19" s="461"/>
      <c r="AE19" s="462"/>
      <c r="AF19" s="460"/>
      <c r="AG19" s="461"/>
      <c r="AH19" s="462"/>
      <c r="AI19" s="460"/>
      <c r="AJ19" s="461"/>
      <c r="AK19" s="462"/>
      <c r="AL19" s="468"/>
      <c r="AM19" s="469"/>
      <c r="AN19" s="470"/>
      <c r="AO19" s="468"/>
      <c r="AP19" s="469"/>
      <c r="AQ19" s="470"/>
      <c r="AR19" s="468"/>
      <c r="AS19" s="469"/>
      <c r="AT19" s="470"/>
      <c r="AU19" s="468"/>
      <c r="AV19" s="469"/>
      <c r="AW19" s="470"/>
      <c r="AX19" s="468"/>
      <c r="AY19" s="469"/>
      <c r="AZ19" s="470"/>
      <c r="BA19" s="468"/>
      <c r="BB19" s="469"/>
      <c r="BC19" s="470"/>
    </row>
    <row r="20" spans="1:57" ht="14.95" customHeight="1" thickBot="1" x14ac:dyDescent="0.3">
      <c r="A20" s="312" t="s">
        <v>199</v>
      </c>
      <c r="B20" s="318">
        <v>0</v>
      </c>
      <c r="C20" s="319">
        <v>0</v>
      </c>
      <c r="D20" s="320">
        <v>0</v>
      </c>
      <c r="E20" s="321">
        <f t="shared" si="0"/>
        <v>0</v>
      </c>
      <c r="F20" s="311" t="s">
        <v>199</v>
      </c>
      <c r="G20" s="144">
        <v>75</v>
      </c>
      <c r="H20" s="286">
        <v>0</v>
      </c>
      <c r="I20" s="224">
        <v>0</v>
      </c>
      <c r="J20" s="75">
        <f t="shared" si="1"/>
        <v>75</v>
      </c>
      <c r="K20" s="287" t="s">
        <v>21</v>
      </c>
      <c r="L20" s="7" t="s">
        <v>46</v>
      </c>
      <c r="M20" s="7" t="s">
        <v>9</v>
      </c>
      <c r="N20" s="7" t="s">
        <v>10</v>
      </c>
      <c r="O20" s="7" t="s">
        <v>46</v>
      </c>
      <c r="P20" s="7" t="s">
        <v>9</v>
      </c>
      <c r="Q20" s="7" t="s">
        <v>10</v>
      </c>
      <c r="R20" s="7" t="s">
        <v>46</v>
      </c>
      <c r="S20" s="7" t="s">
        <v>9</v>
      </c>
      <c r="T20" s="7" t="s">
        <v>10</v>
      </c>
      <c r="U20" s="7" t="s">
        <v>46</v>
      </c>
      <c r="V20" s="7" t="s">
        <v>9</v>
      </c>
      <c r="W20" s="7" t="s">
        <v>10</v>
      </c>
      <c r="AC20" s="148" t="s">
        <v>46</v>
      </c>
      <c r="AD20" s="7" t="s">
        <v>9</v>
      </c>
      <c r="AE20" s="7" t="s">
        <v>10</v>
      </c>
      <c r="AF20" s="148" t="s">
        <v>46</v>
      </c>
      <c r="AG20" s="7" t="s">
        <v>9</v>
      </c>
      <c r="AH20" s="7" t="s">
        <v>10</v>
      </c>
      <c r="AI20" s="148" t="s">
        <v>46</v>
      </c>
      <c r="AJ20" s="7" t="s">
        <v>9</v>
      </c>
      <c r="AK20" s="7" t="s">
        <v>10</v>
      </c>
      <c r="AL20" s="84" t="s">
        <v>46</v>
      </c>
      <c r="AM20" s="79" t="s">
        <v>9</v>
      </c>
      <c r="AN20" s="79" t="s">
        <v>10</v>
      </c>
      <c r="AO20" s="84" t="s">
        <v>46</v>
      </c>
      <c r="AP20" s="79" t="s">
        <v>9</v>
      </c>
      <c r="AQ20" s="79" t="s">
        <v>10</v>
      </c>
      <c r="AR20" s="84" t="s">
        <v>46</v>
      </c>
      <c r="AS20" s="79" t="s">
        <v>9</v>
      </c>
      <c r="AT20" s="79" t="s">
        <v>10</v>
      </c>
      <c r="AU20" s="84" t="s">
        <v>46</v>
      </c>
      <c r="AV20" s="79" t="s">
        <v>9</v>
      </c>
      <c r="AW20" s="79" t="s">
        <v>10</v>
      </c>
      <c r="AX20" s="84" t="s">
        <v>46</v>
      </c>
      <c r="AY20" s="79" t="s">
        <v>9</v>
      </c>
      <c r="AZ20" s="79" t="s">
        <v>10</v>
      </c>
      <c r="BA20" s="97" t="s">
        <v>46</v>
      </c>
      <c r="BB20" s="99" t="s">
        <v>9</v>
      </c>
      <c r="BC20" s="99" t="s">
        <v>10</v>
      </c>
    </row>
    <row r="21" spans="1:57" ht="14.95" customHeight="1" thickBot="1" x14ac:dyDescent="0.3">
      <c r="A21" s="312" t="s">
        <v>931</v>
      </c>
      <c r="B21" s="318">
        <v>0</v>
      </c>
      <c r="C21" s="319">
        <v>0</v>
      </c>
      <c r="D21" s="320">
        <v>1</v>
      </c>
      <c r="E21" s="321">
        <f t="shared" si="0"/>
        <v>1</v>
      </c>
      <c r="F21" s="311" t="s">
        <v>931</v>
      </c>
      <c r="G21" s="144">
        <v>0</v>
      </c>
      <c r="H21" s="286">
        <v>0</v>
      </c>
      <c r="I21" s="224">
        <v>5</v>
      </c>
      <c r="J21" s="75">
        <f t="shared" si="1"/>
        <v>5</v>
      </c>
      <c r="K21" s="312" t="s">
        <v>99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153" t="s">
        <v>15</v>
      </c>
      <c r="AI21" s="148" t="s">
        <v>15</v>
      </c>
      <c r="AJ21" s="7" t="s">
        <v>15</v>
      </c>
      <c r="AK21" s="153" t="s">
        <v>15</v>
      </c>
      <c r="AL21" s="148" t="s">
        <v>15</v>
      </c>
      <c r="AM21" s="7" t="s">
        <v>15</v>
      </c>
      <c r="AN21" s="7" t="s">
        <v>15</v>
      </c>
      <c r="AO21" s="148" t="s">
        <v>15</v>
      </c>
      <c r="AP21" s="7" t="s">
        <v>15</v>
      </c>
      <c r="AQ21" s="7" t="s">
        <v>15</v>
      </c>
      <c r="AR21" s="148" t="s">
        <v>15</v>
      </c>
      <c r="AS21" s="7" t="s">
        <v>15</v>
      </c>
      <c r="AT21" s="7" t="s">
        <v>15</v>
      </c>
      <c r="AU21" s="6" t="s">
        <v>15</v>
      </c>
      <c r="AV21" s="7" t="s">
        <v>15</v>
      </c>
      <c r="AW21" s="7" t="s">
        <v>15</v>
      </c>
      <c r="AX21" s="6" t="s">
        <v>15</v>
      </c>
      <c r="AY21" s="7" t="s">
        <v>15</v>
      </c>
      <c r="AZ21" s="7" t="s">
        <v>15</v>
      </c>
      <c r="BA21" s="6" t="s">
        <v>15</v>
      </c>
      <c r="BB21" s="7" t="s">
        <v>15</v>
      </c>
      <c r="BC21" s="7" t="s">
        <v>15</v>
      </c>
      <c r="BD21" s="80"/>
      <c r="BE21" s="80"/>
    </row>
    <row r="22" spans="1:57" ht="14.95" customHeight="1" thickBot="1" x14ac:dyDescent="0.3">
      <c r="A22" s="312" t="s">
        <v>398</v>
      </c>
      <c r="B22" s="318">
        <v>0</v>
      </c>
      <c r="C22" s="319">
        <v>0</v>
      </c>
      <c r="D22" s="320">
        <v>1</v>
      </c>
      <c r="E22" s="321">
        <f t="shared" si="0"/>
        <v>1</v>
      </c>
      <c r="F22" s="311" t="s">
        <v>398</v>
      </c>
      <c r="G22" s="144">
        <v>0</v>
      </c>
      <c r="H22" s="286">
        <v>0</v>
      </c>
      <c r="I22" s="224">
        <v>5</v>
      </c>
      <c r="J22" s="75">
        <f t="shared" si="1"/>
        <v>5</v>
      </c>
      <c r="K22" s="312" t="s">
        <v>157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>
        <v>2</v>
      </c>
      <c r="S22" s="7">
        <v>3</v>
      </c>
      <c r="T22" s="153">
        <v>66.666666666666657</v>
      </c>
      <c r="U22" s="7" t="s">
        <v>15</v>
      </c>
      <c r="V22" s="7" t="s">
        <v>15</v>
      </c>
      <c r="W22" s="153" t="s">
        <v>15</v>
      </c>
      <c r="AC22" s="148" t="s">
        <v>15</v>
      </c>
      <c r="AD22" s="7" t="s">
        <v>15</v>
      </c>
      <c r="AE22" s="153" t="s">
        <v>15</v>
      </c>
      <c r="AF22" s="148" t="s">
        <v>15</v>
      </c>
      <c r="AG22" s="7" t="s">
        <v>15</v>
      </c>
      <c r="AH22" s="153" t="s">
        <v>15</v>
      </c>
      <c r="AI22" s="148">
        <v>2</v>
      </c>
      <c r="AJ22" s="7">
        <v>3</v>
      </c>
      <c r="AK22" s="153">
        <f t="shared" ref="AK22" si="16">SUM(AI22/AJ22)*100</f>
        <v>66.666666666666657</v>
      </c>
      <c r="AL22" s="148">
        <v>2</v>
      </c>
      <c r="AM22" s="7">
        <v>2</v>
      </c>
      <c r="AN22" s="153">
        <f t="shared" ref="AN22" si="17">SUM(AL22/AM22)*100</f>
        <v>100</v>
      </c>
      <c r="AO22" s="148" t="s">
        <v>15</v>
      </c>
      <c r="AP22" s="7" t="s">
        <v>15</v>
      </c>
      <c r="AQ22" s="7" t="s">
        <v>15</v>
      </c>
      <c r="AR22" s="148" t="s">
        <v>15</v>
      </c>
      <c r="AS22" s="7" t="s">
        <v>15</v>
      </c>
      <c r="AT22" s="7" t="s">
        <v>15</v>
      </c>
      <c r="AU22" s="6" t="s">
        <v>15</v>
      </c>
      <c r="AV22" s="7" t="s">
        <v>15</v>
      </c>
      <c r="AW22" s="7" t="s">
        <v>15</v>
      </c>
      <c r="AX22" s="6" t="s">
        <v>15</v>
      </c>
      <c r="AY22" s="7" t="s">
        <v>15</v>
      </c>
      <c r="AZ22" s="7" t="s">
        <v>15</v>
      </c>
      <c r="BA22" s="7" t="s">
        <v>15</v>
      </c>
      <c r="BB22" s="7" t="s">
        <v>15</v>
      </c>
      <c r="BC22" s="7" t="s">
        <v>15</v>
      </c>
      <c r="BD22" s="80"/>
      <c r="BE22" s="80"/>
    </row>
    <row r="23" spans="1:57" ht="14.95" customHeight="1" thickBot="1" x14ac:dyDescent="0.3">
      <c r="A23" s="312" t="s">
        <v>1010</v>
      </c>
      <c r="B23" s="318">
        <v>0</v>
      </c>
      <c r="C23" s="319">
        <v>0</v>
      </c>
      <c r="D23" s="320">
        <v>0</v>
      </c>
      <c r="E23" s="321">
        <f t="shared" si="0"/>
        <v>0</v>
      </c>
      <c r="F23" s="311" t="s">
        <v>1010</v>
      </c>
      <c r="G23" s="144">
        <v>0</v>
      </c>
      <c r="H23" s="286">
        <v>0</v>
      </c>
      <c r="I23" s="224">
        <v>0</v>
      </c>
      <c r="J23" s="75">
        <f t="shared" si="1"/>
        <v>0</v>
      </c>
      <c r="K23" s="312" t="s">
        <v>483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>
        <v>5</v>
      </c>
      <c r="V23" s="7">
        <v>5</v>
      </c>
      <c r="W23" s="153">
        <v>100</v>
      </c>
      <c r="AC23" s="148" t="s">
        <v>15</v>
      </c>
      <c r="AD23" s="7" t="s">
        <v>15</v>
      </c>
      <c r="AE23" s="153" t="s">
        <v>15</v>
      </c>
      <c r="AF23" s="148">
        <v>15</v>
      </c>
      <c r="AG23" s="7">
        <v>19</v>
      </c>
      <c r="AH23" s="153">
        <f>SUM(AF23/AG23)*100</f>
        <v>78.94736842105263</v>
      </c>
      <c r="AI23" s="6">
        <v>16</v>
      </c>
      <c r="AJ23" s="7">
        <v>19</v>
      </c>
      <c r="AK23" s="153">
        <f>SUM(AI23/AJ23)*100</f>
        <v>84.210526315789465</v>
      </c>
      <c r="AL23" s="148"/>
      <c r="AM23" s="7"/>
      <c r="AN23" s="153"/>
      <c r="AO23" s="148"/>
      <c r="AP23" s="7"/>
      <c r="AQ23" s="7"/>
      <c r="AR23" s="148"/>
      <c r="AS23" s="7"/>
      <c r="AT23" s="7"/>
      <c r="AU23" s="6"/>
      <c r="AV23" s="7"/>
      <c r="AW23" s="7"/>
      <c r="AX23" s="6"/>
      <c r="AY23" s="7"/>
      <c r="AZ23" s="7"/>
      <c r="BA23" s="7"/>
      <c r="BB23" s="7"/>
      <c r="BC23" s="7"/>
      <c r="BD23" s="80"/>
      <c r="BE23" s="80"/>
    </row>
    <row r="24" spans="1:57" ht="14.95" customHeight="1" thickBot="1" x14ac:dyDescent="0.3">
      <c r="A24" s="312" t="s">
        <v>271</v>
      </c>
      <c r="B24" s="318">
        <v>4</v>
      </c>
      <c r="C24" s="319">
        <v>0</v>
      </c>
      <c r="D24" s="320">
        <v>0</v>
      </c>
      <c r="E24" s="321">
        <f t="shared" si="0"/>
        <v>4</v>
      </c>
      <c r="F24" s="311" t="s">
        <v>271</v>
      </c>
      <c r="G24" s="144">
        <v>20</v>
      </c>
      <c r="H24" s="286">
        <v>0</v>
      </c>
      <c r="I24" s="224">
        <v>0</v>
      </c>
      <c r="J24" s="75">
        <f t="shared" si="1"/>
        <v>20</v>
      </c>
      <c r="AF24" s="81" t="s">
        <v>21</v>
      </c>
      <c r="AG24" s="81" t="s">
        <v>21</v>
      </c>
    </row>
    <row r="25" spans="1:57" ht="14.95" customHeight="1" thickBot="1" x14ac:dyDescent="0.3">
      <c r="A25" s="312" t="s">
        <v>424</v>
      </c>
      <c r="B25" s="318">
        <v>4</v>
      </c>
      <c r="C25" s="319">
        <v>0</v>
      </c>
      <c r="D25" s="320">
        <v>1</v>
      </c>
      <c r="E25" s="321">
        <f t="shared" si="0"/>
        <v>5</v>
      </c>
      <c r="F25" s="311" t="s">
        <v>424</v>
      </c>
      <c r="G25" s="144">
        <v>20</v>
      </c>
      <c r="H25" s="286">
        <v>0</v>
      </c>
      <c r="I25" s="224">
        <v>5</v>
      </c>
      <c r="J25" s="75">
        <f t="shared" si="1"/>
        <v>25</v>
      </c>
      <c r="K25" s="479" t="s">
        <v>1032</v>
      </c>
      <c r="L25" s="481" t="s">
        <v>14</v>
      </c>
      <c r="M25" s="482"/>
      <c r="N25" s="483"/>
      <c r="O25" s="457" t="s">
        <v>234</v>
      </c>
      <c r="P25" s="458"/>
      <c r="Q25" s="459"/>
      <c r="R25" s="457" t="s">
        <v>903</v>
      </c>
      <c r="S25" s="458"/>
      <c r="T25" s="459"/>
      <c r="U25" s="457" t="s">
        <v>601</v>
      </c>
      <c r="V25" s="458"/>
      <c r="W25" s="459"/>
      <c r="AC25" s="457" t="s">
        <v>494</v>
      </c>
      <c r="AD25" s="458"/>
      <c r="AE25" s="459"/>
      <c r="AF25" s="457" t="s">
        <v>313</v>
      </c>
      <c r="AG25" s="458"/>
      <c r="AH25" s="459"/>
      <c r="AI25" s="465" t="s">
        <v>227</v>
      </c>
      <c r="AJ25" s="466"/>
      <c r="AK25" s="467"/>
      <c r="AL25" s="465" t="s">
        <v>172</v>
      </c>
      <c r="AM25" s="466"/>
      <c r="AN25" s="467"/>
      <c r="AO25" s="465" t="s">
        <v>79</v>
      </c>
      <c r="AP25" s="466"/>
      <c r="AQ25" s="467"/>
      <c r="AR25" s="465" t="s">
        <v>50</v>
      </c>
      <c r="AS25" s="466"/>
      <c r="AT25" s="467"/>
      <c r="AU25" s="465" t="s">
        <v>37</v>
      </c>
      <c r="AV25" s="466"/>
      <c r="AW25" s="467"/>
    </row>
    <row r="26" spans="1:57" ht="14.95" customHeight="1" thickBot="1" x14ac:dyDescent="0.3">
      <c r="A26" s="312" t="s">
        <v>273</v>
      </c>
      <c r="B26" s="318">
        <v>0</v>
      </c>
      <c r="C26" s="319">
        <v>0</v>
      </c>
      <c r="D26" s="320">
        <v>0</v>
      </c>
      <c r="E26" s="321">
        <f t="shared" si="0"/>
        <v>0</v>
      </c>
      <c r="F26" s="311" t="s">
        <v>273</v>
      </c>
      <c r="G26" s="144">
        <v>0</v>
      </c>
      <c r="H26" s="286">
        <v>0</v>
      </c>
      <c r="I26" s="224">
        <v>0</v>
      </c>
      <c r="J26" s="75">
        <f t="shared" si="1"/>
        <v>0</v>
      </c>
      <c r="K26" s="480"/>
      <c r="L26" s="484"/>
      <c r="M26" s="485"/>
      <c r="N26" s="486"/>
      <c r="O26" s="460"/>
      <c r="P26" s="461"/>
      <c r="Q26" s="462"/>
      <c r="R26" s="460"/>
      <c r="S26" s="461"/>
      <c r="T26" s="462"/>
      <c r="U26" s="460"/>
      <c r="V26" s="461"/>
      <c r="W26" s="462"/>
      <c r="AC26" s="460"/>
      <c r="AD26" s="461"/>
      <c r="AE26" s="462"/>
      <c r="AF26" s="460"/>
      <c r="AG26" s="461"/>
      <c r="AH26" s="462"/>
      <c r="AI26" s="468"/>
      <c r="AJ26" s="469"/>
      <c r="AK26" s="470"/>
      <c r="AL26" s="468"/>
      <c r="AM26" s="469"/>
      <c r="AN26" s="470"/>
      <c r="AO26" s="468"/>
      <c r="AP26" s="469"/>
      <c r="AQ26" s="470"/>
      <c r="AR26" s="468"/>
      <c r="AS26" s="469"/>
      <c r="AT26" s="470"/>
      <c r="AU26" s="468"/>
      <c r="AV26" s="469"/>
      <c r="AW26" s="470"/>
    </row>
    <row r="27" spans="1:57" ht="14.95" customHeight="1" thickBot="1" x14ac:dyDescent="0.3">
      <c r="A27" s="312" t="s">
        <v>730</v>
      </c>
      <c r="B27" s="318">
        <v>0</v>
      </c>
      <c r="C27" s="319">
        <v>0</v>
      </c>
      <c r="D27" s="320">
        <v>0</v>
      </c>
      <c r="E27" s="321">
        <f t="shared" si="0"/>
        <v>0</v>
      </c>
      <c r="F27" s="311" t="s">
        <v>730</v>
      </c>
      <c r="G27" s="144">
        <v>0</v>
      </c>
      <c r="H27" s="286">
        <v>0</v>
      </c>
      <c r="I27" s="224">
        <v>0</v>
      </c>
      <c r="J27" s="75">
        <f t="shared" si="1"/>
        <v>0</v>
      </c>
      <c r="K27" s="416" t="s">
        <v>21</v>
      </c>
      <c r="L27" s="3" t="s">
        <v>46</v>
      </c>
      <c r="M27" s="3" t="s">
        <v>9</v>
      </c>
      <c r="N27" s="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C27" s="148" t="s">
        <v>46</v>
      </c>
      <c r="AD27" s="7" t="s">
        <v>9</v>
      </c>
      <c r="AE27" s="7" t="s">
        <v>10</v>
      </c>
      <c r="AF27" s="148" t="s">
        <v>46</v>
      </c>
      <c r="AG27" s="7" t="s">
        <v>9</v>
      </c>
      <c r="AH27" s="7" t="s">
        <v>10</v>
      </c>
      <c r="AI27" s="97" t="s">
        <v>46</v>
      </c>
      <c r="AJ27" s="79" t="s">
        <v>9</v>
      </c>
      <c r="AK27" s="79" t="s">
        <v>10</v>
      </c>
      <c r="AL27" s="84" t="s">
        <v>46</v>
      </c>
      <c r="AM27" s="79" t="s">
        <v>9</v>
      </c>
      <c r="AN27" s="79" t="s">
        <v>10</v>
      </c>
      <c r="AO27" s="84" t="s">
        <v>46</v>
      </c>
      <c r="AP27" s="79" t="s">
        <v>9</v>
      </c>
      <c r="AQ27" s="79" t="s">
        <v>10</v>
      </c>
      <c r="AR27" s="84" t="s">
        <v>46</v>
      </c>
      <c r="AS27" s="79" t="s">
        <v>9</v>
      </c>
      <c r="AT27" s="79" t="s">
        <v>10</v>
      </c>
      <c r="AU27" s="84" t="s">
        <v>46</v>
      </c>
      <c r="AV27" s="79" t="s">
        <v>9</v>
      </c>
      <c r="AW27" s="79" t="s">
        <v>10</v>
      </c>
    </row>
    <row r="28" spans="1:57" ht="14.95" customHeight="1" thickBot="1" x14ac:dyDescent="0.3">
      <c r="A28" s="312" t="s">
        <v>1008</v>
      </c>
      <c r="B28" s="318">
        <v>0</v>
      </c>
      <c r="C28" s="319">
        <v>2</v>
      </c>
      <c r="D28" s="320">
        <v>0</v>
      </c>
      <c r="E28" s="321">
        <f t="shared" si="0"/>
        <v>2</v>
      </c>
      <c r="F28" s="311" t="s">
        <v>1008</v>
      </c>
      <c r="G28" s="144">
        <v>0</v>
      </c>
      <c r="H28" s="286">
        <v>10</v>
      </c>
      <c r="I28" s="224">
        <v>0</v>
      </c>
      <c r="J28" s="75">
        <f t="shared" si="1"/>
        <v>10</v>
      </c>
      <c r="K28" s="294" t="s">
        <v>99</v>
      </c>
      <c r="L28" s="321">
        <v>6</v>
      </c>
      <c r="M28" s="321">
        <v>10</v>
      </c>
      <c r="N28" s="322">
        <f t="shared" ref="N28" si="18">SUM(L28/M28)*100</f>
        <v>60</v>
      </c>
      <c r="O28" s="7">
        <v>23</v>
      </c>
      <c r="P28" s="7">
        <v>31</v>
      </c>
      <c r="Q28" s="153">
        <v>74.193548387096769</v>
      </c>
      <c r="R28" s="7">
        <v>10</v>
      </c>
      <c r="S28" s="7">
        <v>12</v>
      </c>
      <c r="T28" s="153">
        <v>83</v>
      </c>
      <c r="U28" s="7">
        <v>12</v>
      </c>
      <c r="V28" s="7">
        <v>15</v>
      </c>
      <c r="W28" s="153">
        <v>80</v>
      </c>
      <c r="AC28" s="148">
        <v>6</v>
      </c>
      <c r="AD28" s="7">
        <v>10</v>
      </c>
      <c r="AE28" s="153">
        <f t="shared" ref="AE28" si="19">SUM(AC28/AD28)*100</f>
        <v>60</v>
      </c>
      <c r="AF28" s="148">
        <v>3</v>
      </c>
      <c r="AG28" s="7">
        <v>5</v>
      </c>
      <c r="AH28" s="153">
        <f>(AF28/AG28)*100</f>
        <v>60</v>
      </c>
      <c r="AI28" s="6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148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148" t="s">
        <v>15</v>
      </c>
      <c r="AV28" s="7" t="s">
        <v>15</v>
      </c>
      <c r="AW28" s="7" t="s">
        <v>15</v>
      </c>
    </row>
    <row r="29" spans="1:57" ht="14.95" customHeight="1" thickBot="1" x14ac:dyDescent="0.3">
      <c r="A29" s="312" t="s">
        <v>740</v>
      </c>
      <c r="B29" s="318">
        <v>1</v>
      </c>
      <c r="C29" s="319">
        <v>1</v>
      </c>
      <c r="D29" s="320">
        <v>0</v>
      </c>
      <c r="E29" s="321">
        <f t="shared" si="0"/>
        <v>2</v>
      </c>
      <c r="F29" s="311" t="s">
        <v>740</v>
      </c>
      <c r="G29" s="144">
        <v>5</v>
      </c>
      <c r="H29" s="286">
        <v>5</v>
      </c>
      <c r="I29" s="224">
        <v>0</v>
      </c>
      <c r="J29" s="75">
        <f t="shared" si="1"/>
        <v>10</v>
      </c>
      <c r="K29" s="294" t="s">
        <v>157</v>
      </c>
      <c r="L29" s="321">
        <v>4</v>
      </c>
      <c r="M29" s="321">
        <v>6</v>
      </c>
      <c r="N29" s="322">
        <f t="shared" ref="N29" si="20">SUM(L29/M29)*100</f>
        <v>66.666666666666657</v>
      </c>
      <c r="O29" s="7" t="s">
        <v>15</v>
      </c>
      <c r="P29" s="7" t="s">
        <v>15</v>
      </c>
      <c r="Q29" s="153" t="s">
        <v>15</v>
      </c>
      <c r="R29" s="7">
        <v>7</v>
      </c>
      <c r="S29" s="7">
        <v>7</v>
      </c>
      <c r="T29" s="153">
        <v>100</v>
      </c>
      <c r="U29" s="7" t="s">
        <v>15</v>
      </c>
      <c r="V29" s="7" t="s">
        <v>15</v>
      </c>
      <c r="W29" s="153" t="s">
        <v>15</v>
      </c>
      <c r="AC29" s="148">
        <v>4</v>
      </c>
      <c r="AD29" s="7">
        <v>5</v>
      </c>
      <c r="AE29" s="153">
        <f t="shared" ref="AE29" si="21">SUM(AC29/AD29)*100</f>
        <v>80</v>
      </c>
      <c r="AF29" s="148">
        <v>19</v>
      </c>
      <c r="AG29" s="7">
        <v>25</v>
      </c>
      <c r="AH29" s="153">
        <f>(AF29/AG29)*100</f>
        <v>76</v>
      </c>
      <c r="AI29" s="6">
        <v>2</v>
      </c>
      <c r="AJ29" s="7">
        <v>4</v>
      </c>
      <c r="AK29" s="153">
        <f t="shared" ref="AK29" si="22">SUM(AI29/AJ29)*100</f>
        <v>50</v>
      </c>
      <c r="AL29" s="148" t="s">
        <v>15</v>
      </c>
      <c r="AM29" s="7" t="s">
        <v>15</v>
      </c>
      <c r="AN29" s="7" t="s">
        <v>15</v>
      </c>
      <c r="AO29" s="148" t="s">
        <v>15</v>
      </c>
      <c r="AP29" s="7" t="s">
        <v>15</v>
      </c>
      <c r="AQ29" s="7" t="s">
        <v>15</v>
      </c>
      <c r="AR29" s="6" t="s">
        <v>15</v>
      </c>
      <c r="AS29" s="7" t="s">
        <v>15</v>
      </c>
      <c r="AT29" s="7" t="s">
        <v>15</v>
      </c>
      <c r="AU29" s="148" t="s">
        <v>15</v>
      </c>
      <c r="AV29" s="7" t="s">
        <v>15</v>
      </c>
      <c r="AW29" s="7" t="s">
        <v>15</v>
      </c>
    </row>
    <row r="30" spans="1:57" ht="14.95" customHeight="1" thickBot="1" x14ac:dyDescent="0.3">
      <c r="A30" s="312" t="s">
        <v>794</v>
      </c>
      <c r="B30" s="318">
        <v>0</v>
      </c>
      <c r="C30" s="319">
        <v>0</v>
      </c>
      <c r="D30" s="320">
        <v>1</v>
      </c>
      <c r="E30" s="321">
        <f t="shared" si="0"/>
        <v>1</v>
      </c>
      <c r="F30" s="311" t="s">
        <v>794</v>
      </c>
      <c r="G30" s="144">
        <v>0</v>
      </c>
      <c r="H30" s="286">
        <v>0</v>
      </c>
      <c r="I30" s="224">
        <v>5</v>
      </c>
      <c r="J30" s="75">
        <f t="shared" si="1"/>
        <v>5</v>
      </c>
      <c r="K30" s="312" t="s">
        <v>483</v>
      </c>
      <c r="L30" s="321" t="s">
        <v>15</v>
      </c>
      <c r="M30" s="321" t="s">
        <v>15</v>
      </c>
      <c r="N30" s="322" t="s">
        <v>15</v>
      </c>
      <c r="O30" s="7" t="s">
        <v>15</v>
      </c>
      <c r="P30" s="7" t="s">
        <v>15</v>
      </c>
      <c r="Q30" s="153" t="s">
        <v>15</v>
      </c>
      <c r="R30" s="7" t="s">
        <v>15</v>
      </c>
      <c r="S30" s="7" t="s">
        <v>15</v>
      </c>
      <c r="T30" s="153" t="s">
        <v>15</v>
      </c>
      <c r="U30" s="7">
        <v>0</v>
      </c>
      <c r="V30" s="7">
        <v>1</v>
      </c>
      <c r="W30" s="153">
        <v>0</v>
      </c>
      <c r="AC30" s="148" t="s">
        <v>15</v>
      </c>
      <c r="AD30" s="7" t="s">
        <v>15</v>
      </c>
      <c r="AE30" s="153" t="s">
        <v>15</v>
      </c>
      <c r="AF30" s="148" t="s">
        <v>15</v>
      </c>
      <c r="AG30" s="7" t="s">
        <v>15</v>
      </c>
      <c r="AH30" s="153" t="s">
        <v>15</v>
      </c>
      <c r="AI30" s="6" t="s">
        <v>15</v>
      </c>
      <c r="AJ30" s="7" t="s">
        <v>15</v>
      </c>
      <c r="AK30" s="153" t="s">
        <v>15</v>
      </c>
      <c r="AL30" s="7" t="s">
        <v>15</v>
      </c>
      <c r="AM30" s="7" t="s">
        <v>15</v>
      </c>
      <c r="AN30" s="153" t="s">
        <v>15</v>
      </c>
      <c r="AO30" s="7" t="s">
        <v>15</v>
      </c>
      <c r="AP30" s="7" t="s">
        <v>15</v>
      </c>
      <c r="AQ30" s="153" t="s">
        <v>15</v>
      </c>
      <c r="AR30" s="7" t="s">
        <v>15</v>
      </c>
      <c r="AS30" s="7" t="s">
        <v>15</v>
      </c>
      <c r="AT30" s="153" t="s">
        <v>15</v>
      </c>
      <c r="AU30" s="7" t="s">
        <v>15</v>
      </c>
      <c r="AV30" s="7" t="s">
        <v>15</v>
      </c>
      <c r="AW30" s="153" t="s">
        <v>15</v>
      </c>
    </row>
    <row r="31" spans="1:57" ht="14.95" customHeight="1" thickBot="1" x14ac:dyDescent="0.3">
      <c r="A31" s="312" t="s">
        <v>476</v>
      </c>
      <c r="B31" s="318">
        <v>0</v>
      </c>
      <c r="C31" s="319">
        <v>0</v>
      </c>
      <c r="D31" s="320">
        <v>0</v>
      </c>
      <c r="E31" s="321">
        <f t="shared" si="0"/>
        <v>0</v>
      </c>
      <c r="F31" s="311" t="s">
        <v>476</v>
      </c>
      <c r="G31" s="144">
        <v>0</v>
      </c>
      <c r="H31" s="286">
        <v>0</v>
      </c>
      <c r="I31" s="224">
        <v>0</v>
      </c>
      <c r="J31" s="75">
        <f t="shared" si="1"/>
        <v>0</v>
      </c>
      <c r="K31" s="294" t="s">
        <v>354</v>
      </c>
      <c r="L31" s="321" t="s">
        <v>15</v>
      </c>
      <c r="M31" s="321" t="s">
        <v>15</v>
      </c>
      <c r="N31" s="322" t="s">
        <v>15</v>
      </c>
      <c r="O31" s="7" t="s">
        <v>15</v>
      </c>
      <c r="P31" s="7" t="s">
        <v>15</v>
      </c>
      <c r="Q31" s="153" t="s">
        <v>15</v>
      </c>
      <c r="R31" s="7">
        <v>4</v>
      </c>
      <c r="S31" s="7">
        <v>7</v>
      </c>
      <c r="T31" s="153">
        <v>57.142857142857139</v>
      </c>
      <c r="U31" s="7">
        <v>0</v>
      </c>
      <c r="V31" s="7">
        <v>0</v>
      </c>
      <c r="W31" s="153">
        <v>0</v>
      </c>
      <c r="X31" s="86"/>
      <c r="Y31" s="86"/>
      <c r="Z31" s="86"/>
      <c r="AC31" s="148">
        <v>0</v>
      </c>
      <c r="AD31" s="7">
        <v>0</v>
      </c>
      <c r="AE31" s="153">
        <v>0</v>
      </c>
      <c r="AF31" s="148">
        <v>0</v>
      </c>
      <c r="AG31" s="7">
        <v>0</v>
      </c>
      <c r="AH31" s="153">
        <v>0</v>
      </c>
      <c r="AI31" s="6">
        <v>0</v>
      </c>
      <c r="AJ31" s="7">
        <v>0</v>
      </c>
      <c r="AK31" s="153">
        <v>0</v>
      </c>
      <c r="AL31" s="148">
        <v>0</v>
      </c>
      <c r="AM31" s="7">
        <v>0</v>
      </c>
      <c r="AN31" s="7">
        <v>0</v>
      </c>
      <c r="AO31" s="148">
        <v>0</v>
      </c>
      <c r="AP31" s="7">
        <v>0</v>
      </c>
      <c r="AQ31" s="7">
        <v>0</v>
      </c>
      <c r="AR31" s="6">
        <v>0</v>
      </c>
      <c r="AS31" s="7">
        <v>0</v>
      </c>
      <c r="AT31" s="7">
        <v>0</v>
      </c>
      <c r="AU31" s="148">
        <v>0</v>
      </c>
      <c r="AV31" s="7">
        <v>0</v>
      </c>
      <c r="AW31" s="7">
        <v>0</v>
      </c>
      <c r="AX31" s="156"/>
    </row>
    <row r="32" spans="1:57" ht="14.95" customHeight="1" thickBot="1" x14ac:dyDescent="0.3">
      <c r="A32" s="312" t="s">
        <v>64</v>
      </c>
      <c r="B32" s="318">
        <v>4</v>
      </c>
      <c r="C32" s="319">
        <v>3</v>
      </c>
      <c r="D32" s="320">
        <v>2</v>
      </c>
      <c r="E32" s="321">
        <f t="shared" si="0"/>
        <v>9</v>
      </c>
      <c r="F32" s="311" t="s">
        <v>64</v>
      </c>
      <c r="G32" s="144">
        <v>20</v>
      </c>
      <c r="H32" s="286">
        <v>15</v>
      </c>
      <c r="I32" s="224">
        <v>10</v>
      </c>
      <c r="J32" s="75">
        <f t="shared" si="1"/>
        <v>45</v>
      </c>
      <c r="K32" s="115"/>
      <c r="AC32" s="115" t="s">
        <v>484</v>
      </c>
    </row>
    <row r="33" spans="1:23" ht="14.95" customHeight="1" thickBot="1" x14ac:dyDescent="0.3">
      <c r="A33" s="312" t="s">
        <v>518</v>
      </c>
      <c r="B33" s="318">
        <v>0</v>
      </c>
      <c r="C33" s="319">
        <v>0</v>
      </c>
      <c r="D33" s="320">
        <v>0</v>
      </c>
      <c r="E33" s="321">
        <f t="shared" si="0"/>
        <v>0</v>
      </c>
      <c r="F33" s="311" t="s">
        <v>518</v>
      </c>
      <c r="G33" s="144">
        <v>0</v>
      </c>
      <c r="H33" s="286">
        <v>0</v>
      </c>
      <c r="I33" s="224">
        <v>0</v>
      </c>
      <c r="J33" s="75">
        <f t="shared" si="1"/>
        <v>0</v>
      </c>
      <c r="K33" s="496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</row>
    <row r="34" spans="1:23" ht="14.95" customHeight="1" thickBot="1" x14ac:dyDescent="0.3">
      <c r="A34" s="312" t="s">
        <v>743</v>
      </c>
      <c r="B34" s="318">
        <v>0</v>
      </c>
      <c r="C34" s="319">
        <v>0</v>
      </c>
      <c r="D34" s="320">
        <v>0</v>
      </c>
      <c r="E34" s="321">
        <f t="shared" si="0"/>
        <v>0</v>
      </c>
      <c r="F34" s="311" t="s">
        <v>743</v>
      </c>
      <c r="G34" s="144">
        <v>0</v>
      </c>
      <c r="H34" s="286">
        <v>0</v>
      </c>
      <c r="I34" s="224">
        <v>0</v>
      </c>
      <c r="J34" s="75">
        <f t="shared" si="1"/>
        <v>0</v>
      </c>
    </row>
    <row r="35" spans="1:23" ht="14.95" customHeight="1" thickBot="1" x14ac:dyDescent="0.3">
      <c r="A35" s="312" t="s">
        <v>4</v>
      </c>
      <c r="B35" s="318">
        <v>0</v>
      </c>
      <c r="C35" s="319">
        <v>0</v>
      </c>
      <c r="D35" s="320">
        <v>0</v>
      </c>
      <c r="E35" s="321">
        <f t="shared" si="0"/>
        <v>0</v>
      </c>
      <c r="F35" s="311" t="s">
        <v>4</v>
      </c>
      <c r="G35" s="144">
        <v>0</v>
      </c>
      <c r="H35" s="286">
        <v>0</v>
      </c>
      <c r="I35" s="224">
        <v>0</v>
      </c>
      <c r="J35" s="75">
        <f t="shared" si="1"/>
        <v>0</v>
      </c>
    </row>
    <row r="36" spans="1:23" ht="14.95" customHeight="1" thickBot="1" x14ac:dyDescent="0.3">
      <c r="A36" s="312" t="s">
        <v>299</v>
      </c>
      <c r="B36" s="318">
        <v>1</v>
      </c>
      <c r="C36" s="319">
        <v>0</v>
      </c>
      <c r="D36" s="320">
        <v>0</v>
      </c>
      <c r="E36" s="321">
        <f t="shared" si="0"/>
        <v>1</v>
      </c>
      <c r="F36" s="311" t="s">
        <v>299</v>
      </c>
      <c r="G36" s="144">
        <v>5</v>
      </c>
      <c r="H36" s="286">
        <v>0</v>
      </c>
      <c r="I36" s="224">
        <v>0</v>
      </c>
      <c r="J36" s="75">
        <f t="shared" si="1"/>
        <v>5</v>
      </c>
    </row>
    <row r="37" spans="1:23" ht="14.95" customHeight="1" thickBot="1" x14ac:dyDescent="0.3">
      <c r="A37" s="312" t="s">
        <v>75</v>
      </c>
      <c r="B37" s="318">
        <v>3</v>
      </c>
      <c r="C37" s="319">
        <v>1</v>
      </c>
      <c r="D37" s="320">
        <v>0</v>
      </c>
      <c r="E37" s="321">
        <f t="shared" si="0"/>
        <v>4</v>
      </c>
      <c r="F37" s="311" t="s">
        <v>75</v>
      </c>
      <c r="G37" s="144">
        <v>15</v>
      </c>
      <c r="H37" s="286">
        <v>5</v>
      </c>
      <c r="I37" s="224">
        <v>0</v>
      </c>
      <c r="J37" s="75">
        <f t="shared" si="1"/>
        <v>20</v>
      </c>
    </row>
    <row r="38" spans="1:23" ht="14.95" customHeight="1" thickBot="1" x14ac:dyDescent="0.3">
      <c r="A38" s="312" t="s">
        <v>415</v>
      </c>
      <c r="B38" s="318">
        <v>0</v>
      </c>
      <c r="C38" s="319">
        <v>0</v>
      </c>
      <c r="D38" s="320">
        <v>0</v>
      </c>
      <c r="E38" s="321">
        <f t="shared" si="0"/>
        <v>0</v>
      </c>
      <c r="F38" s="311" t="s">
        <v>415</v>
      </c>
      <c r="G38" s="144">
        <v>0</v>
      </c>
      <c r="H38" s="286">
        <v>0</v>
      </c>
      <c r="I38" s="224">
        <v>0</v>
      </c>
      <c r="J38" s="75">
        <f t="shared" si="1"/>
        <v>0</v>
      </c>
    </row>
    <row r="39" spans="1:23" ht="14.95" customHeight="1" thickBot="1" x14ac:dyDescent="0.3">
      <c r="A39" s="312" t="s">
        <v>1058</v>
      </c>
      <c r="B39" s="318">
        <v>0</v>
      </c>
      <c r="C39" s="319">
        <v>0</v>
      </c>
      <c r="D39" s="320">
        <v>1</v>
      </c>
      <c r="E39" s="321">
        <f t="shared" si="0"/>
        <v>1</v>
      </c>
      <c r="F39" s="311" t="s">
        <v>1058</v>
      </c>
      <c r="G39" s="144">
        <v>0</v>
      </c>
      <c r="H39" s="286">
        <v>0</v>
      </c>
      <c r="I39" s="224">
        <v>5</v>
      </c>
      <c r="J39" s="75">
        <f t="shared" si="1"/>
        <v>5</v>
      </c>
    </row>
    <row r="40" spans="1:23" ht="14.95" customHeight="1" thickBot="1" x14ac:dyDescent="0.3">
      <c r="A40" s="312" t="s">
        <v>285</v>
      </c>
      <c r="B40" s="318">
        <v>1</v>
      </c>
      <c r="C40" s="319">
        <v>1</v>
      </c>
      <c r="D40" s="320">
        <v>0</v>
      </c>
      <c r="E40" s="321">
        <f t="shared" si="0"/>
        <v>2</v>
      </c>
      <c r="F40" s="311" t="s">
        <v>285</v>
      </c>
      <c r="G40" s="144">
        <v>5</v>
      </c>
      <c r="H40" s="286">
        <v>5</v>
      </c>
      <c r="I40" s="224">
        <v>0</v>
      </c>
      <c r="J40" s="75">
        <f t="shared" si="1"/>
        <v>10</v>
      </c>
    </row>
    <row r="41" spans="1:23" ht="14.95" customHeight="1" thickBot="1" x14ac:dyDescent="0.3">
      <c r="A41" s="312" t="s">
        <v>183</v>
      </c>
      <c r="B41" s="318">
        <v>5</v>
      </c>
      <c r="C41" s="319">
        <v>0</v>
      </c>
      <c r="D41" s="320">
        <v>0</v>
      </c>
      <c r="E41" s="321">
        <f t="shared" si="0"/>
        <v>5</v>
      </c>
      <c r="F41" s="311" t="s">
        <v>183</v>
      </c>
      <c r="G41" s="144">
        <v>25</v>
      </c>
      <c r="H41" s="286">
        <v>0</v>
      </c>
      <c r="I41" s="224">
        <v>0</v>
      </c>
      <c r="J41" s="75">
        <f t="shared" si="1"/>
        <v>25</v>
      </c>
    </row>
    <row r="42" spans="1:23" ht="14.95" customHeight="1" thickBot="1" x14ac:dyDescent="0.3">
      <c r="A42" s="312" t="s">
        <v>351</v>
      </c>
      <c r="B42" s="318">
        <v>0</v>
      </c>
      <c r="C42" s="319">
        <v>0</v>
      </c>
      <c r="D42" s="320">
        <v>1</v>
      </c>
      <c r="E42" s="321">
        <f t="shared" si="0"/>
        <v>1</v>
      </c>
      <c r="F42" s="311" t="s">
        <v>351</v>
      </c>
      <c r="G42" s="144">
        <v>0</v>
      </c>
      <c r="H42" s="286">
        <v>0</v>
      </c>
      <c r="I42" s="224">
        <v>5</v>
      </c>
      <c r="J42" s="75">
        <f t="shared" ref="J42" si="23">SUM(G42:I42)</f>
        <v>5</v>
      </c>
    </row>
    <row r="43" spans="1:23" ht="14.95" customHeight="1" thickBot="1" x14ac:dyDescent="0.3">
      <c r="A43" s="312" t="s">
        <v>746</v>
      </c>
      <c r="B43" s="318">
        <v>2</v>
      </c>
      <c r="C43" s="319">
        <v>1</v>
      </c>
      <c r="D43" s="320">
        <v>0</v>
      </c>
      <c r="E43" s="321">
        <f t="shared" si="0"/>
        <v>3</v>
      </c>
      <c r="F43" s="311" t="s">
        <v>746</v>
      </c>
      <c r="G43" s="144">
        <v>10</v>
      </c>
      <c r="H43" s="286">
        <v>5</v>
      </c>
      <c r="I43" s="224">
        <v>0</v>
      </c>
      <c r="J43" s="75">
        <f t="shared" ref="J43:J48" si="24">SUM(G43:I43)</f>
        <v>15</v>
      </c>
    </row>
    <row r="44" spans="1:23" ht="14.95" thickBot="1" x14ac:dyDescent="0.3">
      <c r="A44" s="312" t="s">
        <v>1009</v>
      </c>
      <c r="B44" s="318">
        <v>2</v>
      </c>
      <c r="C44" s="319">
        <v>0</v>
      </c>
      <c r="D44" s="320">
        <v>0</v>
      </c>
      <c r="E44" s="321">
        <f t="shared" si="0"/>
        <v>2</v>
      </c>
      <c r="F44" s="311" t="s">
        <v>1009</v>
      </c>
      <c r="G44" s="144">
        <v>10</v>
      </c>
      <c r="H44" s="286">
        <v>0</v>
      </c>
      <c r="I44" s="224">
        <v>0</v>
      </c>
      <c r="J44" s="75">
        <f t="shared" si="24"/>
        <v>10</v>
      </c>
    </row>
    <row r="45" spans="1:23" ht="14.95" thickBot="1" x14ac:dyDescent="0.3">
      <c r="A45" s="312" t="s">
        <v>354</v>
      </c>
      <c r="B45" s="318">
        <v>0</v>
      </c>
      <c r="C45" s="319">
        <v>0</v>
      </c>
      <c r="D45" s="320">
        <v>0</v>
      </c>
      <c r="E45" s="321">
        <f t="shared" si="0"/>
        <v>0</v>
      </c>
      <c r="F45" s="311" t="s">
        <v>354</v>
      </c>
      <c r="G45" s="144">
        <v>0</v>
      </c>
      <c r="H45" s="286">
        <v>0</v>
      </c>
      <c r="I45" s="224">
        <v>0</v>
      </c>
      <c r="J45" s="75">
        <f t="shared" si="24"/>
        <v>0</v>
      </c>
    </row>
    <row r="46" spans="1:23" ht="14.95" thickBot="1" x14ac:dyDescent="0.3">
      <c r="A46" s="312" t="s">
        <v>752</v>
      </c>
      <c r="B46" s="318">
        <v>2</v>
      </c>
      <c r="C46" s="319">
        <v>1</v>
      </c>
      <c r="D46" s="320">
        <v>0</v>
      </c>
      <c r="E46" s="321">
        <f t="shared" si="0"/>
        <v>3</v>
      </c>
      <c r="F46" s="311" t="s">
        <v>752</v>
      </c>
      <c r="G46" s="144">
        <v>10</v>
      </c>
      <c r="H46" s="286">
        <v>5</v>
      </c>
      <c r="I46" s="224">
        <v>0</v>
      </c>
      <c r="J46" s="75">
        <f t="shared" si="24"/>
        <v>15</v>
      </c>
    </row>
    <row r="47" spans="1:23" ht="14.95" thickBot="1" x14ac:dyDescent="0.3">
      <c r="A47" s="312" t="s">
        <v>1056</v>
      </c>
      <c r="B47" s="318">
        <v>0</v>
      </c>
      <c r="C47" s="319">
        <v>0</v>
      </c>
      <c r="D47" s="320">
        <v>1</v>
      </c>
      <c r="E47" s="321">
        <f t="shared" si="0"/>
        <v>1</v>
      </c>
      <c r="F47" s="311" t="s">
        <v>1056</v>
      </c>
      <c r="G47" s="144">
        <v>0</v>
      </c>
      <c r="H47" s="286">
        <v>0</v>
      </c>
      <c r="I47" s="224">
        <v>5</v>
      </c>
      <c r="J47" s="75">
        <f t="shared" si="24"/>
        <v>5</v>
      </c>
    </row>
    <row r="48" spans="1:23" ht="14.95" thickBot="1" x14ac:dyDescent="0.3">
      <c r="A48" s="312" t="s">
        <v>753</v>
      </c>
      <c r="B48" s="318">
        <v>0</v>
      </c>
      <c r="C48" s="319">
        <v>0</v>
      </c>
      <c r="D48" s="320">
        <v>0</v>
      </c>
      <c r="E48" s="321">
        <f t="shared" si="0"/>
        <v>0</v>
      </c>
      <c r="F48" s="311" t="s">
        <v>753</v>
      </c>
      <c r="G48" s="144">
        <v>0</v>
      </c>
      <c r="H48" s="286">
        <v>0</v>
      </c>
      <c r="I48" s="224">
        <v>0</v>
      </c>
      <c r="J48" s="75">
        <f t="shared" si="24"/>
        <v>0</v>
      </c>
    </row>
    <row r="49" spans="1:10" ht="14.95" thickBot="1" x14ac:dyDescent="0.3">
      <c r="A49" s="312" t="s">
        <v>3</v>
      </c>
      <c r="B49" s="318">
        <f>SUM(B3:B48)</f>
        <v>35</v>
      </c>
      <c r="C49" s="319">
        <f>SUM(C3:C48)</f>
        <v>13</v>
      </c>
      <c r="D49" s="320">
        <f>SUM(D3:D48)</f>
        <v>13</v>
      </c>
      <c r="E49" s="321">
        <f>SUM(E3:E48)</f>
        <v>61</v>
      </c>
      <c r="F49" s="311" t="s">
        <v>3</v>
      </c>
      <c r="G49" s="144">
        <f>SUM(G3:G48)</f>
        <v>262</v>
      </c>
      <c r="H49" s="286">
        <f>SUM(H3:H48)</f>
        <v>83</v>
      </c>
      <c r="I49" s="224">
        <f>SUM(I3:I48)</f>
        <v>86</v>
      </c>
      <c r="J49" s="75">
        <f>SUM(J3:J48)</f>
        <v>431</v>
      </c>
    </row>
    <row r="50" spans="1:10" x14ac:dyDescent="0.25">
      <c r="B50" s="132"/>
      <c r="C50" s="67"/>
      <c r="D50" s="67"/>
      <c r="F50" s="103"/>
      <c r="G50" s="132"/>
      <c r="H50" s="67"/>
      <c r="I50" s="67"/>
    </row>
    <row r="51" spans="1:10" ht="14.95" thickBot="1" x14ac:dyDescent="0.3">
      <c r="A51" t="s">
        <v>12</v>
      </c>
      <c r="B51" s="132"/>
      <c r="C51" s="67"/>
      <c r="D51" s="67"/>
      <c r="F51" s="104"/>
      <c r="G51" s="133"/>
      <c r="H51" s="68"/>
      <c r="I51" s="68"/>
      <c r="J51" s="36"/>
    </row>
    <row r="52" spans="1:10" ht="14.95" thickBot="1" x14ac:dyDescent="0.3">
      <c r="A52" s="313" t="s">
        <v>0</v>
      </c>
      <c r="B52" s="314" t="s">
        <v>226</v>
      </c>
      <c r="C52" s="315" t="s">
        <v>30</v>
      </c>
      <c r="D52" s="316" t="s">
        <v>339</v>
      </c>
      <c r="E52" s="317" t="s">
        <v>1</v>
      </c>
      <c r="F52" s="309" t="s">
        <v>2</v>
      </c>
      <c r="G52" s="143" t="s">
        <v>226</v>
      </c>
      <c r="H52" s="285" t="s">
        <v>30</v>
      </c>
      <c r="I52" s="223" t="s">
        <v>339</v>
      </c>
      <c r="J52" s="108" t="s">
        <v>1</v>
      </c>
    </row>
    <row r="53" spans="1:10" ht="14.95" thickBot="1" x14ac:dyDescent="0.3">
      <c r="A53" s="312" t="s">
        <v>64</v>
      </c>
      <c r="B53" s="318">
        <v>4</v>
      </c>
      <c r="C53" s="319">
        <v>3</v>
      </c>
      <c r="D53" s="320">
        <v>2</v>
      </c>
      <c r="E53" s="321">
        <f t="shared" ref="E53:E98" si="25">SUM(B53:D53)</f>
        <v>9</v>
      </c>
      <c r="F53" s="310" t="s">
        <v>199</v>
      </c>
      <c r="G53" s="144">
        <v>75</v>
      </c>
      <c r="H53" s="286">
        <v>0</v>
      </c>
      <c r="I53" s="224">
        <v>0</v>
      </c>
      <c r="J53" s="75">
        <f t="shared" ref="J53:J98" si="26">SUM(G53:I53)</f>
        <v>75</v>
      </c>
    </row>
    <row r="54" spans="1:10" ht="14.95" thickBot="1" x14ac:dyDescent="0.3">
      <c r="A54" s="312" t="s">
        <v>424</v>
      </c>
      <c r="B54" s="318">
        <v>4</v>
      </c>
      <c r="C54" s="319">
        <v>0</v>
      </c>
      <c r="D54" s="320">
        <v>1</v>
      </c>
      <c r="E54" s="321">
        <f t="shared" si="25"/>
        <v>5</v>
      </c>
      <c r="F54" s="310" t="s">
        <v>157</v>
      </c>
      <c r="G54" s="144">
        <v>22</v>
      </c>
      <c r="H54" s="286">
        <v>16</v>
      </c>
      <c r="I54" s="224">
        <v>9</v>
      </c>
      <c r="J54" s="75">
        <f t="shared" si="26"/>
        <v>47</v>
      </c>
    </row>
    <row r="55" spans="1:10" ht="14.95" thickBot="1" x14ac:dyDescent="0.3">
      <c r="A55" s="312" t="s">
        <v>183</v>
      </c>
      <c r="B55" s="318">
        <v>5</v>
      </c>
      <c r="C55" s="319">
        <v>0</v>
      </c>
      <c r="D55" s="320">
        <v>0</v>
      </c>
      <c r="E55" s="321">
        <f t="shared" si="25"/>
        <v>5</v>
      </c>
      <c r="F55" s="311" t="s">
        <v>64</v>
      </c>
      <c r="G55" s="144">
        <v>20</v>
      </c>
      <c r="H55" s="286">
        <v>15</v>
      </c>
      <c r="I55" s="224">
        <v>10</v>
      </c>
      <c r="J55" s="75">
        <f t="shared" si="26"/>
        <v>45</v>
      </c>
    </row>
    <row r="56" spans="1:10" ht="14.95" thickBot="1" x14ac:dyDescent="0.3">
      <c r="A56" s="312" t="s">
        <v>271</v>
      </c>
      <c r="B56" s="318">
        <v>4</v>
      </c>
      <c r="C56" s="319">
        <v>0</v>
      </c>
      <c r="D56" s="320">
        <v>0</v>
      </c>
      <c r="E56" s="321">
        <f t="shared" si="25"/>
        <v>4</v>
      </c>
      <c r="F56" s="311" t="s">
        <v>424</v>
      </c>
      <c r="G56" s="144">
        <v>20</v>
      </c>
      <c r="H56" s="286">
        <v>0</v>
      </c>
      <c r="I56" s="224">
        <v>5</v>
      </c>
      <c r="J56" s="75">
        <f t="shared" si="26"/>
        <v>25</v>
      </c>
    </row>
    <row r="57" spans="1:10" ht="14.95" thickBot="1" x14ac:dyDescent="0.3">
      <c r="A57" s="312" t="s">
        <v>75</v>
      </c>
      <c r="B57" s="318">
        <v>3</v>
      </c>
      <c r="C57" s="319">
        <v>1</v>
      </c>
      <c r="D57" s="320">
        <v>0</v>
      </c>
      <c r="E57" s="321">
        <f t="shared" si="25"/>
        <v>4</v>
      </c>
      <c r="F57" s="311" t="s">
        <v>183</v>
      </c>
      <c r="G57" s="144">
        <v>25</v>
      </c>
      <c r="H57" s="286">
        <v>0</v>
      </c>
      <c r="I57" s="224">
        <v>0</v>
      </c>
      <c r="J57" s="75">
        <f t="shared" si="26"/>
        <v>25</v>
      </c>
    </row>
    <row r="58" spans="1:10" ht="14.95" thickBot="1" x14ac:dyDescent="0.3">
      <c r="A58" s="312" t="s">
        <v>746</v>
      </c>
      <c r="B58" s="318">
        <v>2</v>
      </c>
      <c r="C58" s="319">
        <v>1</v>
      </c>
      <c r="D58" s="320">
        <v>0</v>
      </c>
      <c r="E58" s="321">
        <f t="shared" si="25"/>
        <v>3</v>
      </c>
      <c r="F58" s="311" t="s">
        <v>271</v>
      </c>
      <c r="G58" s="144">
        <v>20</v>
      </c>
      <c r="H58" s="286">
        <v>0</v>
      </c>
      <c r="I58" s="224">
        <v>0</v>
      </c>
      <c r="J58" s="75">
        <f t="shared" si="26"/>
        <v>20</v>
      </c>
    </row>
    <row r="59" spans="1:10" ht="14.95" thickBot="1" x14ac:dyDescent="0.3">
      <c r="A59" s="312" t="s">
        <v>752</v>
      </c>
      <c r="B59" s="318">
        <v>2</v>
      </c>
      <c r="C59" s="319">
        <v>1</v>
      </c>
      <c r="D59" s="320">
        <v>0</v>
      </c>
      <c r="E59" s="321">
        <f t="shared" si="25"/>
        <v>3</v>
      </c>
      <c r="F59" s="311" t="s">
        <v>75</v>
      </c>
      <c r="G59" s="144">
        <v>15</v>
      </c>
      <c r="H59" s="286">
        <v>5</v>
      </c>
      <c r="I59" s="224">
        <v>0</v>
      </c>
      <c r="J59" s="75">
        <f t="shared" si="26"/>
        <v>20</v>
      </c>
    </row>
    <row r="60" spans="1:10" ht="14.95" thickBot="1" x14ac:dyDescent="0.3">
      <c r="A60" s="312" t="s">
        <v>33</v>
      </c>
      <c r="B60" s="318">
        <v>2</v>
      </c>
      <c r="C60" s="319">
        <v>0</v>
      </c>
      <c r="D60" s="320">
        <v>0</v>
      </c>
      <c r="E60" s="321">
        <f t="shared" si="25"/>
        <v>2</v>
      </c>
      <c r="F60" s="311" t="s">
        <v>99</v>
      </c>
      <c r="G60" s="144">
        <v>0</v>
      </c>
      <c r="H60" s="286">
        <v>7</v>
      </c>
      <c r="I60" s="224">
        <v>12</v>
      </c>
      <c r="J60" s="75">
        <f t="shared" si="26"/>
        <v>19</v>
      </c>
    </row>
    <row r="61" spans="1:10" ht="14.95" thickBot="1" x14ac:dyDescent="0.3">
      <c r="A61" s="312" t="s">
        <v>938</v>
      </c>
      <c r="B61" s="318">
        <v>0</v>
      </c>
      <c r="C61" s="319">
        <v>1</v>
      </c>
      <c r="D61" s="320">
        <v>1</v>
      </c>
      <c r="E61" s="321">
        <f t="shared" si="25"/>
        <v>2</v>
      </c>
      <c r="F61" s="311" t="s">
        <v>746</v>
      </c>
      <c r="G61" s="144">
        <v>10</v>
      </c>
      <c r="H61" s="286">
        <v>5</v>
      </c>
      <c r="I61" s="224">
        <v>0</v>
      </c>
      <c r="J61" s="75">
        <f t="shared" si="26"/>
        <v>15</v>
      </c>
    </row>
    <row r="62" spans="1:10" ht="14.95" thickBot="1" x14ac:dyDescent="0.3">
      <c r="A62" s="312" t="s">
        <v>157</v>
      </c>
      <c r="B62" s="318">
        <v>2</v>
      </c>
      <c r="C62" s="319">
        <v>0</v>
      </c>
      <c r="D62" s="320">
        <v>0</v>
      </c>
      <c r="E62" s="321">
        <f t="shared" si="25"/>
        <v>2</v>
      </c>
      <c r="F62" s="311" t="s">
        <v>752</v>
      </c>
      <c r="G62" s="144">
        <v>10</v>
      </c>
      <c r="H62" s="286">
        <v>5</v>
      </c>
      <c r="I62" s="224">
        <v>0</v>
      </c>
      <c r="J62" s="75">
        <f t="shared" si="26"/>
        <v>15</v>
      </c>
    </row>
    <row r="63" spans="1:10" ht="14.95" thickBot="1" x14ac:dyDescent="0.3">
      <c r="A63" s="312" t="s">
        <v>361</v>
      </c>
      <c r="B63" s="318">
        <v>0</v>
      </c>
      <c r="C63" s="319">
        <v>0</v>
      </c>
      <c r="D63" s="320">
        <v>2</v>
      </c>
      <c r="E63" s="321">
        <f t="shared" si="25"/>
        <v>2</v>
      </c>
      <c r="F63" s="311" t="s">
        <v>33</v>
      </c>
      <c r="G63" s="144">
        <v>10</v>
      </c>
      <c r="H63" s="286">
        <v>0</v>
      </c>
      <c r="I63" s="224">
        <v>0</v>
      </c>
      <c r="J63" s="75">
        <f t="shared" si="26"/>
        <v>10</v>
      </c>
    </row>
    <row r="64" spans="1:10" ht="14.95" thickBot="1" x14ac:dyDescent="0.3">
      <c r="A64" s="312" t="s">
        <v>1008</v>
      </c>
      <c r="B64" s="318">
        <v>0</v>
      </c>
      <c r="C64" s="319">
        <v>2</v>
      </c>
      <c r="D64" s="320">
        <v>0</v>
      </c>
      <c r="E64" s="321">
        <f t="shared" si="25"/>
        <v>2</v>
      </c>
      <c r="F64" s="311" t="s">
        <v>938</v>
      </c>
      <c r="G64" s="144">
        <v>0</v>
      </c>
      <c r="H64" s="286">
        <v>5</v>
      </c>
      <c r="I64" s="224">
        <v>5</v>
      </c>
      <c r="J64" s="75">
        <f t="shared" si="26"/>
        <v>10</v>
      </c>
    </row>
    <row r="65" spans="1:10" ht="14.95" thickBot="1" x14ac:dyDescent="0.3">
      <c r="A65" s="312" t="s">
        <v>740</v>
      </c>
      <c r="B65" s="318">
        <v>1</v>
      </c>
      <c r="C65" s="319">
        <v>1</v>
      </c>
      <c r="D65" s="320">
        <v>0</v>
      </c>
      <c r="E65" s="321">
        <f t="shared" si="25"/>
        <v>2</v>
      </c>
      <c r="F65" s="311" t="s">
        <v>361</v>
      </c>
      <c r="G65" s="144">
        <v>0</v>
      </c>
      <c r="H65" s="286">
        <v>0</v>
      </c>
      <c r="I65" s="224">
        <v>10</v>
      </c>
      <c r="J65" s="75">
        <f t="shared" si="26"/>
        <v>10</v>
      </c>
    </row>
    <row r="66" spans="1:10" ht="14.95" thickBot="1" x14ac:dyDescent="0.3">
      <c r="A66" s="312" t="s">
        <v>285</v>
      </c>
      <c r="B66" s="318">
        <v>1</v>
      </c>
      <c r="C66" s="319">
        <v>1</v>
      </c>
      <c r="D66" s="320">
        <v>0</v>
      </c>
      <c r="E66" s="321">
        <f t="shared" si="25"/>
        <v>2</v>
      </c>
      <c r="F66" s="311" t="s">
        <v>1008</v>
      </c>
      <c r="G66" s="144">
        <v>0</v>
      </c>
      <c r="H66" s="286">
        <v>10</v>
      </c>
      <c r="I66" s="224">
        <v>0</v>
      </c>
      <c r="J66" s="75">
        <f t="shared" si="26"/>
        <v>10</v>
      </c>
    </row>
    <row r="67" spans="1:10" ht="14.95" thickBot="1" x14ac:dyDescent="0.3">
      <c r="A67" s="312" t="s">
        <v>1009</v>
      </c>
      <c r="B67" s="318">
        <v>2</v>
      </c>
      <c r="C67" s="319">
        <v>0</v>
      </c>
      <c r="D67" s="320">
        <v>0</v>
      </c>
      <c r="E67" s="321">
        <f t="shared" si="25"/>
        <v>2</v>
      </c>
      <c r="F67" s="311" t="s">
        <v>740</v>
      </c>
      <c r="G67" s="144">
        <v>5</v>
      </c>
      <c r="H67" s="286">
        <v>5</v>
      </c>
      <c r="I67" s="224">
        <v>0</v>
      </c>
      <c r="J67" s="75">
        <f t="shared" si="26"/>
        <v>10</v>
      </c>
    </row>
    <row r="68" spans="1:10" ht="14.95" thickBot="1" x14ac:dyDescent="0.3">
      <c r="A68" s="312" t="s">
        <v>748</v>
      </c>
      <c r="B68" s="318">
        <v>1</v>
      </c>
      <c r="C68" s="319">
        <v>0</v>
      </c>
      <c r="D68" s="320">
        <v>0</v>
      </c>
      <c r="E68" s="321">
        <f t="shared" si="25"/>
        <v>1</v>
      </c>
      <c r="F68" s="311" t="s">
        <v>285</v>
      </c>
      <c r="G68" s="144">
        <v>5</v>
      </c>
      <c r="H68" s="286">
        <v>5</v>
      </c>
      <c r="I68" s="224">
        <v>0</v>
      </c>
      <c r="J68" s="75">
        <f t="shared" si="26"/>
        <v>10</v>
      </c>
    </row>
    <row r="69" spans="1:10" ht="14.95" thickBot="1" x14ac:dyDescent="0.3">
      <c r="A69" s="312" t="s">
        <v>751</v>
      </c>
      <c r="B69" s="318">
        <v>0</v>
      </c>
      <c r="C69" s="319">
        <v>1</v>
      </c>
      <c r="D69" s="320">
        <v>0</v>
      </c>
      <c r="E69" s="321">
        <f t="shared" si="25"/>
        <v>1</v>
      </c>
      <c r="F69" s="311" t="s">
        <v>1009</v>
      </c>
      <c r="G69" s="144">
        <v>10</v>
      </c>
      <c r="H69" s="286">
        <v>0</v>
      </c>
      <c r="I69" s="224">
        <v>0</v>
      </c>
      <c r="J69" s="75">
        <f t="shared" si="26"/>
        <v>10</v>
      </c>
    </row>
    <row r="70" spans="1:10" ht="14.95" thickBot="1" x14ac:dyDescent="0.3">
      <c r="A70" s="312" t="s">
        <v>456</v>
      </c>
      <c r="B70" s="318">
        <v>0</v>
      </c>
      <c r="C70" s="319">
        <v>0</v>
      </c>
      <c r="D70" s="320">
        <v>1</v>
      </c>
      <c r="E70" s="321">
        <f t="shared" si="25"/>
        <v>1</v>
      </c>
      <c r="F70" s="311" t="s">
        <v>748</v>
      </c>
      <c r="G70" s="144">
        <v>5</v>
      </c>
      <c r="H70" s="286">
        <v>0</v>
      </c>
      <c r="I70" s="224">
        <v>0</v>
      </c>
      <c r="J70" s="75">
        <f t="shared" si="26"/>
        <v>5</v>
      </c>
    </row>
    <row r="71" spans="1:10" ht="14.95" thickBot="1" x14ac:dyDescent="0.3">
      <c r="A71" s="312" t="s">
        <v>397</v>
      </c>
      <c r="B71" s="318">
        <v>1</v>
      </c>
      <c r="C71" s="319">
        <v>0</v>
      </c>
      <c r="D71" s="320">
        <v>0</v>
      </c>
      <c r="E71" s="321">
        <f t="shared" si="25"/>
        <v>1</v>
      </c>
      <c r="F71" s="311" t="s">
        <v>751</v>
      </c>
      <c r="G71" s="144">
        <v>0</v>
      </c>
      <c r="H71" s="286">
        <v>5</v>
      </c>
      <c r="I71" s="224">
        <v>0</v>
      </c>
      <c r="J71" s="75">
        <f t="shared" si="26"/>
        <v>5</v>
      </c>
    </row>
    <row r="72" spans="1:10" ht="14.95" thickBot="1" x14ac:dyDescent="0.3">
      <c r="A72" s="312" t="s">
        <v>185</v>
      </c>
      <c r="B72" s="318">
        <v>0</v>
      </c>
      <c r="C72" s="319">
        <v>1</v>
      </c>
      <c r="D72" s="320">
        <v>0</v>
      </c>
      <c r="E72" s="321">
        <f t="shared" si="25"/>
        <v>1</v>
      </c>
      <c r="F72" s="311" t="s">
        <v>456</v>
      </c>
      <c r="G72" s="144">
        <v>0</v>
      </c>
      <c r="H72" s="286">
        <v>0</v>
      </c>
      <c r="I72" s="224">
        <v>5</v>
      </c>
      <c r="J72" s="75">
        <f t="shared" si="26"/>
        <v>5</v>
      </c>
    </row>
    <row r="73" spans="1:10" ht="14.95" thickBot="1" x14ac:dyDescent="0.3">
      <c r="A73" s="312" t="s">
        <v>931</v>
      </c>
      <c r="B73" s="318">
        <v>0</v>
      </c>
      <c r="C73" s="319">
        <v>0</v>
      </c>
      <c r="D73" s="320">
        <v>1</v>
      </c>
      <c r="E73" s="321">
        <f t="shared" si="25"/>
        <v>1</v>
      </c>
      <c r="F73" s="311" t="s">
        <v>397</v>
      </c>
      <c r="G73" s="144">
        <v>5</v>
      </c>
      <c r="H73" s="286">
        <v>0</v>
      </c>
      <c r="I73" s="224">
        <v>0</v>
      </c>
      <c r="J73" s="75">
        <f t="shared" si="26"/>
        <v>5</v>
      </c>
    </row>
    <row r="74" spans="1:10" ht="14.95" thickBot="1" x14ac:dyDescent="0.3">
      <c r="A74" s="312" t="s">
        <v>398</v>
      </c>
      <c r="B74" s="318">
        <v>0</v>
      </c>
      <c r="C74" s="319">
        <v>0</v>
      </c>
      <c r="D74" s="320">
        <v>1</v>
      </c>
      <c r="E74" s="321">
        <f t="shared" si="25"/>
        <v>1</v>
      </c>
      <c r="F74" s="311" t="s">
        <v>931</v>
      </c>
      <c r="G74" s="144">
        <v>0</v>
      </c>
      <c r="H74" s="286">
        <v>0</v>
      </c>
      <c r="I74" s="224">
        <v>5</v>
      </c>
      <c r="J74" s="75">
        <f t="shared" si="26"/>
        <v>5</v>
      </c>
    </row>
    <row r="75" spans="1:10" ht="14.95" thickBot="1" x14ac:dyDescent="0.3">
      <c r="A75" s="312" t="s">
        <v>794</v>
      </c>
      <c r="B75" s="318">
        <v>0</v>
      </c>
      <c r="C75" s="319">
        <v>0</v>
      </c>
      <c r="D75" s="320">
        <v>1</v>
      </c>
      <c r="E75" s="321">
        <f t="shared" si="25"/>
        <v>1</v>
      </c>
      <c r="F75" s="311" t="s">
        <v>398</v>
      </c>
      <c r="G75" s="144">
        <v>0</v>
      </c>
      <c r="H75" s="286">
        <v>0</v>
      </c>
      <c r="I75" s="224">
        <v>5</v>
      </c>
      <c r="J75" s="75">
        <f t="shared" si="26"/>
        <v>5</v>
      </c>
    </row>
    <row r="76" spans="1:10" ht="14.95" thickBot="1" x14ac:dyDescent="0.3">
      <c r="A76" s="312" t="s">
        <v>299</v>
      </c>
      <c r="B76" s="318">
        <v>1</v>
      </c>
      <c r="C76" s="319">
        <v>0</v>
      </c>
      <c r="D76" s="320">
        <v>0</v>
      </c>
      <c r="E76" s="321">
        <f t="shared" si="25"/>
        <v>1</v>
      </c>
      <c r="F76" s="311" t="s">
        <v>794</v>
      </c>
      <c r="G76" s="144">
        <v>0</v>
      </c>
      <c r="H76" s="286">
        <v>0</v>
      </c>
      <c r="I76" s="224">
        <v>5</v>
      </c>
      <c r="J76" s="75">
        <f t="shared" si="26"/>
        <v>5</v>
      </c>
    </row>
    <row r="77" spans="1:10" ht="14.95" thickBot="1" x14ac:dyDescent="0.3">
      <c r="A77" s="312" t="s">
        <v>1058</v>
      </c>
      <c r="B77" s="318">
        <v>0</v>
      </c>
      <c r="C77" s="319">
        <v>0</v>
      </c>
      <c r="D77" s="320">
        <v>1</v>
      </c>
      <c r="E77" s="321">
        <f t="shared" si="25"/>
        <v>1</v>
      </c>
      <c r="F77" s="311" t="s">
        <v>299</v>
      </c>
      <c r="G77" s="144">
        <v>5</v>
      </c>
      <c r="H77" s="286">
        <v>0</v>
      </c>
      <c r="I77" s="224">
        <v>0</v>
      </c>
      <c r="J77" s="75">
        <f t="shared" si="26"/>
        <v>5</v>
      </c>
    </row>
    <row r="78" spans="1:10" ht="14.95" thickBot="1" x14ac:dyDescent="0.3">
      <c r="A78" s="312" t="s">
        <v>351</v>
      </c>
      <c r="B78" s="318">
        <v>0</v>
      </c>
      <c r="C78" s="319">
        <v>0</v>
      </c>
      <c r="D78" s="320">
        <v>1</v>
      </c>
      <c r="E78" s="321">
        <f t="shared" si="25"/>
        <v>1</v>
      </c>
      <c r="F78" s="311" t="s">
        <v>1058</v>
      </c>
      <c r="G78" s="144">
        <v>0</v>
      </c>
      <c r="H78" s="286">
        <v>0</v>
      </c>
      <c r="I78" s="224">
        <v>5</v>
      </c>
      <c r="J78" s="75">
        <f t="shared" si="26"/>
        <v>5</v>
      </c>
    </row>
    <row r="79" spans="1:10" ht="14.95" thickBot="1" x14ac:dyDescent="0.3">
      <c r="A79" s="312" t="s">
        <v>1056</v>
      </c>
      <c r="B79" s="318">
        <v>0</v>
      </c>
      <c r="C79" s="319">
        <v>0</v>
      </c>
      <c r="D79" s="320">
        <v>1</v>
      </c>
      <c r="E79" s="321">
        <f t="shared" si="25"/>
        <v>1</v>
      </c>
      <c r="F79" s="311" t="s">
        <v>351</v>
      </c>
      <c r="G79" s="144">
        <v>0</v>
      </c>
      <c r="H79" s="286">
        <v>0</v>
      </c>
      <c r="I79" s="224">
        <v>5</v>
      </c>
      <c r="J79" s="75">
        <f t="shared" si="26"/>
        <v>5</v>
      </c>
    </row>
    <row r="80" spans="1:10" ht="14.95" thickBot="1" x14ac:dyDescent="0.3">
      <c r="A80" s="312" t="s">
        <v>516</v>
      </c>
      <c r="B80" s="318">
        <v>0</v>
      </c>
      <c r="C80" s="319">
        <v>0</v>
      </c>
      <c r="D80" s="320">
        <v>0</v>
      </c>
      <c r="E80" s="321">
        <f t="shared" si="25"/>
        <v>0</v>
      </c>
      <c r="F80" s="311" t="s">
        <v>1056</v>
      </c>
      <c r="G80" s="144">
        <v>0</v>
      </c>
      <c r="H80" s="286">
        <v>0</v>
      </c>
      <c r="I80" s="224">
        <v>5</v>
      </c>
      <c r="J80" s="75">
        <f t="shared" si="26"/>
        <v>5</v>
      </c>
    </row>
    <row r="81" spans="1:10" ht="14.95" thickBot="1" x14ac:dyDescent="0.3">
      <c r="A81" s="312" t="s">
        <v>155</v>
      </c>
      <c r="B81" s="318">
        <v>0</v>
      </c>
      <c r="C81" s="319">
        <v>0</v>
      </c>
      <c r="D81" s="320">
        <v>0</v>
      </c>
      <c r="E81" s="321">
        <f t="shared" si="25"/>
        <v>0</v>
      </c>
      <c r="F81" s="311" t="s">
        <v>516</v>
      </c>
      <c r="G81" s="144">
        <v>0</v>
      </c>
      <c r="H81" s="286">
        <v>0</v>
      </c>
      <c r="I81" s="224">
        <v>0</v>
      </c>
      <c r="J81" s="75">
        <f t="shared" si="26"/>
        <v>0</v>
      </c>
    </row>
    <row r="82" spans="1:10" ht="14.95" thickBot="1" x14ac:dyDescent="0.3">
      <c r="A82" s="312" t="s">
        <v>367</v>
      </c>
      <c r="B82" s="318">
        <v>0</v>
      </c>
      <c r="C82" s="319">
        <v>0</v>
      </c>
      <c r="D82" s="320">
        <v>0</v>
      </c>
      <c r="E82" s="321">
        <f t="shared" si="25"/>
        <v>0</v>
      </c>
      <c r="F82" s="311" t="s">
        <v>155</v>
      </c>
      <c r="G82" s="144">
        <v>0</v>
      </c>
      <c r="H82" s="286">
        <v>0</v>
      </c>
      <c r="I82" s="224">
        <v>0</v>
      </c>
      <c r="J82" s="75">
        <f t="shared" si="26"/>
        <v>0</v>
      </c>
    </row>
    <row r="83" spans="1:10" ht="14.95" thickBot="1" x14ac:dyDescent="0.3">
      <c r="A83" s="312" t="s">
        <v>835</v>
      </c>
      <c r="B83" s="318">
        <v>0</v>
      </c>
      <c r="C83" s="319">
        <v>0</v>
      </c>
      <c r="D83" s="320">
        <v>0</v>
      </c>
      <c r="E83" s="321">
        <f t="shared" si="25"/>
        <v>0</v>
      </c>
      <c r="F83" s="311" t="s">
        <v>367</v>
      </c>
      <c r="G83" s="144">
        <v>0</v>
      </c>
      <c r="H83" s="286">
        <v>0</v>
      </c>
      <c r="I83" s="224">
        <v>0</v>
      </c>
      <c r="J83" s="75">
        <f t="shared" si="26"/>
        <v>0</v>
      </c>
    </row>
    <row r="84" spans="1:10" ht="14.95" thickBot="1" x14ac:dyDescent="0.3">
      <c r="A84" s="312" t="s">
        <v>57</v>
      </c>
      <c r="B84" s="318">
        <v>0</v>
      </c>
      <c r="C84" s="319">
        <v>0</v>
      </c>
      <c r="D84" s="320">
        <v>0</v>
      </c>
      <c r="E84" s="321">
        <f t="shared" si="25"/>
        <v>0</v>
      </c>
      <c r="F84" s="311" t="s">
        <v>835</v>
      </c>
      <c r="G84" s="144">
        <v>0</v>
      </c>
      <c r="H84" s="286">
        <v>0</v>
      </c>
      <c r="I84" s="224">
        <v>0</v>
      </c>
      <c r="J84" s="75">
        <f t="shared" si="26"/>
        <v>0</v>
      </c>
    </row>
    <row r="85" spans="1:10" ht="14.95" thickBot="1" x14ac:dyDescent="0.3">
      <c r="A85" s="312" t="s">
        <v>55</v>
      </c>
      <c r="B85" s="318">
        <v>0</v>
      </c>
      <c r="C85" s="319">
        <v>0</v>
      </c>
      <c r="D85" s="320">
        <v>0</v>
      </c>
      <c r="E85" s="321">
        <f t="shared" si="25"/>
        <v>0</v>
      </c>
      <c r="F85" s="311" t="s">
        <v>57</v>
      </c>
      <c r="G85" s="144">
        <v>0</v>
      </c>
      <c r="H85" s="286">
        <v>0</v>
      </c>
      <c r="I85" s="224">
        <v>0</v>
      </c>
      <c r="J85" s="75">
        <f t="shared" si="26"/>
        <v>0</v>
      </c>
    </row>
    <row r="86" spans="1:10" ht="14.95" thickBot="1" x14ac:dyDescent="0.3">
      <c r="A86" s="312" t="s">
        <v>182</v>
      </c>
      <c r="B86" s="318">
        <v>0</v>
      </c>
      <c r="C86" s="319">
        <v>0</v>
      </c>
      <c r="D86" s="320">
        <v>0</v>
      </c>
      <c r="E86" s="321">
        <f t="shared" si="25"/>
        <v>0</v>
      </c>
      <c r="F86" s="311" t="s">
        <v>55</v>
      </c>
      <c r="G86" s="144">
        <v>0</v>
      </c>
      <c r="H86" s="286">
        <v>0</v>
      </c>
      <c r="I86" s="224">
        <v>0</v>
      </c>
      <c r="J86" s="75">
        <f t="shared" si="26"/>
        <v>0</v>
      </c>
    </row>
    <row r="87" spans="1:10" ht="14.95" thickBot="1" x14ac:dyDescent="0.3">
      <c r="A87" s="312" t="s">
        <v>517</v>
      </c>
      <c r="B87" s="318">
        <v>0</v>
      </c>
      <c r="C87" s="319">
        <v>0</v>
      </c>
      <c r="D87" s="320">
        <v>0</v>
      </c>
      <c r="E87" s="321">
        <f t="shared" si="25"/>
        <v>0</v>
      </c>
      <c r="F87" s="311" t="s">
        <v>182</v>
      </c>
      <c r="G87" s="144">
        <v>0</v>
      </c>
      <c r="H87" s="286">
        <v>0</v>
      </c>
      <c r="I87" s="224">
        <v>0</v>
      </c>
      <c r="J87" s="75">
        <f t="shared" si="26"/>
        <v>0</v>
      </c>
    </row>
    <row r="88" spans="1:10" ht="14.95" thickBot="1" x14ac:dyDescent="0.3">
      <c r="A88" s="312" t="s">
        <v>199</v>
      </c>
      <c r="B88" s="318">
        <v>0</v>
      </c>
      <c r="C88" s="319">
        <v>0</v>
      </c>
      <c r="D88" s="320">
        <v>0</v>
      </c>
      <c r="E88" s="321">
        <f t="shared" si="25"/>
        <v>0</v>
      </c>
      <c r="F88" s="311" t="s">
        <v>517</v>
      </c>
      <c r="G88" s="144">
        <v>0</v>
      </c>
      <c r="H88" s="286">
        <v>0</v>
      </c>
      <c r="I88" s="224">
        <v>0</v>
      </c>
      <c r="J88" s="75">
        <f t="shared" si="26"/>
        <v>0</v>
      </c>
    </row>
    <row r="89" spans="1:10" ht="14.95" thickBot="1" x14ac:dyDescent="0.3">
      <c r="A89" s="312" t="s">
        <v>1010</v>
      </c>
      <c r="B89" s="318">
        <v>0</v>
      </c>
      <c r="C89" s="319">
        <v>0</v>
      </c>
      <c r="D89" s="320">
        <v>0</v>
      </c>
      <c r="E89" s="321">
        <f t="shared" si="25"/>
        <v>0</v>
      </c>
      <c r="F89" s="311" t="s">
        <v>1010</v>
      </c>
      <c r="G89" s="144">
        <v>0</v>
      </c>
      <c r="H89" s="286">
        <v>0</v>
      </c>
      <c r="I89" s="224">
        <v>0</v>
      </c>
      <c r="J89" s="75">
        <f t="shared" si="26"/>
        <v>0</v>
      </c>
    </row>
    <row r="90" spans="1:10" ht="14.95" thickBot="1" x14ac:dyDescent="0.3">
      <c r="A90" s="312" t="s">
        <v>273</v>
      </c>
      <c r="B90" s="318">
        <v>0</v>
      </c>
      <c r="C90" s="319">
        <v>0</v>
      </c>
      <c r="D90" s="320">
        <v>0</v>
      </c>
      <c r="E90" s="321">
        <f t="shared" si="25"/>
        <v>0</v>
      </c>
      <c r="F90" s="311" t="s">
        <v>273</v>
      </c>
      <c r="G90" s="144">
        <v>0</v>
      </c>
      <c r="H90" s="286">
        <v>0</v>
      </c>
      <c r="I90" s="224">
        <v>0</v>
      </c>
      <c r="J90" s="75">
        <f t="shared" si="26"/>
        <v>0</v>
      </c>
    </row>
    <row r="91" spans="1:10" ht="14.95" thickBot="1" x14ac:dyDescent="0.3">
      <c r="A91" s="312" t="s">
        <v>730</v>
      </c>
      <c r="B91" s="318">
        <v>0</v>
      </c>
      <c r="C91" s="319">
        <v>0</v>
      </c>
      <c r="D91" s="320">
        <v>0</v>
      </c>
      <c r="E91" s="321">
        <f t="shared" si="25"/>
        <v>0</v>
      </c>
      <c r="F91" s="311" t="s">
        <v>730</v>
      </c>
      <c r="G91" s="144">
        <v>0</v>
      </c>
      <c r="H91" s="286">
        <v>0</v>
      </c>
      <c r="I91" s="224">
        <v>0</v>
      </c>
      <c r="J91" s="75">
        <f t="shared" si="26"/>
        <v>0</v>
      </c>
    </row>
    <row r="92" spans="1:10" ht="14.95" thickBot="1" x14ac:dyDescent="0.3">
      <c r="A92" s="312" t="s">
        <v>476</v>
      </c>
      <c r="B92" s="318">
        <v>0</v>
      </c>
      <c r="C92" s="319">
        <v>0</v>
      </c>
      <c r="D92" s="320">
        <v>0</v>
      </c>
      <c r="E92" s="321">
        <f t="shared" si="25"/>
        <v>0</v>
      </c>
      <c r="F92" s="311" t="s">
        <v>476</v>
      </c>
      <c r="G92" s="144">
        <v>0</v>
      </c>
      <c r="H92" s="286">
        <v>0</v>
      </c>
      <c r="I92" s="224">
        <v>0</v>
      </c>
      <c r="J92" s="75">
        <f t="shared" si="26"/>
        <v>0</v>
      </c>
    </row>
    <row r="93" spans="1:10" ht="14.95" thickBot="1" x14ac:dyDescent="0.3">
      <c r="A93" s="312" t="s">
        <v>518</v>
      </c>
      <c r="B93" s="318">
        <v>0</v>
      </c>
      <c r="C93" s="319">
        <v>0</v>
      </c>
      <c r="D93" s="320">
        <v>0</v>
      </c>
      <c r="E93" s="321">
        <f t="shared" si="25"/>
        <v>0</v>
      </c>
      <c r="F93" s="311" t="s">
        <v>518</v>
      </c>
      <c r="G93" s="144">
        <v>0</v>
      </c>
      <c r="H93" s="286">
        <v>0</v>
      </c>
      <c r="I93" s="224">
        <v>0</v>
      </c>
      <c r="J93" s="75">
        <f t="shared" si="26"/>
        <v>0</v>
      </c>
    </row>
    <row r="94" spans="1:10" ht="14.95" thickBot="1" x14ac:dyDescent="0.3">
      <c r="A94" s="312" t="s">
        <v>743</v>
      </c>
      <c r="B94" s="318">
        <v>0</v>
      </c>
      <c r="C94" s="319">
        <v>0</v>
      </c>
      <c r="D94" s="320">
        <v>0</v>
      </c>
      <c r="E94" s="321">
        <f t="shared" si="25"/>
        <v>0</v>
      </c>
      <c r="F94" s="311" t="s">
        <v>743</v>
      </c>
      <c r="G94" s="144">
        <v>0</v>
      </c>
      <c r="H94" s="286">
        <v>0</v>
      </c>
      <c r="I94" s="224">
        <v>0</v>
      </c>
      <c r="J94" s="75">
        <f t="shared" si="26"/>
        <v>0</v>
      </c>
    </row>
    <row r="95" spans="1:10" ht="14.95" thickBot="1" x14ac:dyDescent="0.3">
      <c r="A95" s="312" t="s">
        <v>4</v>
      </c>
      <c r="B95" s="318">
        <v>0</v>
      </c>
      <c r="C95" s="319">
        <v>0</v>
      </c>
      <c r="D95" s="320">
        <v>0</v>
      </c>
      <c r="E95" s="321">
        <f t="shared" si="25"/>
        <v>0</v>
      </c>
      <c r="F95" s="311" t="s">
        <v>4</v>
      </c>
      <c r="G95" s="144">
        <v>0</v>
      </c>
      <c r="H95" s="286">
        <v>0</v>
      </c>
      <c r="I95" s="224">
        <v>0</v>
      </c>
      <c r="J95" s="75">
        <f t="shared" si="26"/>
        <v>0</v>
      </c>
    </row>
    <row r="96" spans="1:10" ht="14.95" thickBot="1" x14ac:dyDescent="0.3">
      <c r="A96" s="312" t="s">
        <v>415</v>
      </c>
      <c r="B96" s="318">
        <v>0</v>
      </c>
      <c r="C96" s="319">
        <v>0</v>
      </c>
      <c r="D96" s="320">
        <v>0</v>
      </c>
      <c r="E96" s="321">
        <f t="shared" si="25"/>
        <v>0</v>
      </c>
      <c r="F96" s="311" t="s">
        <v>415</v>
      </c>
      <c r="G96" s="144">
        <v>0</v>
      </c>
      <c r="H96" s="286">
        <v>0</v>
      </c>
      <c r="I96" s="224">
        <v>0</v>
      </c>
      <c r="J96" s="75">
        <f t="shared" si="26"/>
        <v>0</v>
      </c>
    </row>
    <row r="97" spans="1:10" ht="14.95" thickBot="1" x14ac:dyDescent="0.3">
      <c r="A97" s="312" t="s">
        <v>354</v>
      </c>
      <c r="B97" s="318">
        <v>0</v>
      </c>
      <c r="C97" s="319">
        <v>0</v>
      </c>
      <c r="D97" s="320">
        <v>0</v>
      </c>
      <c r="E97" s="321">
        <f t="shared" si="25"/>
        <v>0</v>
      </c>
      <c r="F97" s="311" t="s">
        <v>354</v>
      </c>
      <c r="G97" s="144">
        <v>0</v>
      </c>
      <c r="H97" s="286">
        <v>0</v>
      </c>
      <c r="I97" s="224">
        <v>0</v>
      </c>
      <c r="J97" s="75">
        <f t="shared" si="26"/>
        <v>0</v>
      </c>
    </row>
    <row r="98" spans="1:10" ht="14.95" thickBot="1" x14ac:dyDescent="0.3">
      <c r="A98" s="312" t="s">
        <v>753</v>
      </c>
      <c r="B98" s="318">
        <v>0</v>
      </c>
      <c r="C98" s="319">
        <v>0</v>
      </c>
      <c r="D98" s="320">
        <v>0</v>
      </c>
      <c r="E98" s="321">
        <f t="shared" si="25"/>
        <v>0</v>
      </c>
      <c r="F98" s="311" t="s">
        <v>753</v>
      </c>
      <c r="G98" s="144">
        <v>0</v>
      </c>
      <c r="H98" s="286">
        <v>0</v>
      </c>
      <c r="I98" s="224">
        <v>0</v>
      </c>
      <c r="J98" s="75">
        <f t="shared" si="26"/>
        <v>0</v>
      </c>
    </row>
    <row r="99" spans="1:10" ht="14.95" thickBot="1" x14ac:dyDescent="0.3">
      <c r="A99" s="312" t="s">
        <v>3</v>
      </c>
      <c r="B99" s="318">
        <f>SUM(B53:B98)</f>
        <v>35</v>
      </c>
      <c r="C99" s="319">
        <f>SUM(C53:C98)</f>
        <v>13</v>
      </c>
      <c r="D99" s="320">
        <f>SUM(D53:D98)</f>
        <v>13</v>
      </c>
      <c r="E99" s="321">
        <f>SUM(E53:E98)</f>
        <v>61</v>
      </c>
      <c r="F99" s="311" t="s">
        <v>3</v>
      </c>
      <c r="G99" s="144">
        <f>SUM(G53:G98)</f>
        <v>262</v>
      </c>
      <c r="H99" s="286">
        <f>SUM(H53:H98)</f>
        <v>83</v>
      </c>
      <c r="I99" s="224">
        <f>SUM(I53:I98)</f>
        <v>86</v>
      </c>
      <c r="J99" s="75">
        <f>SUM(J53:J98)</f>
        <v>431</v>
      </c>
    </row>
    <row r="100" spans="1:10" ht="16.3" x14ac:dyDescent="0.3">
      <c r="A100" s="556" t="s">
        <v>34</v>
      </c>
      <c r="B100" s="557"/>
      <c r="C100" s="557"/>
      <c r="D100" s="557"/>
      <c r="E100" s="557"/>
      <c r="F100" s="557"/>
      <c r="G100" s="557"/>
      <c r="H100" s="557"/>
      <c r="I100" s="557"/>
      <c r="J100" s="557"/>
    </row>
  </sheetData>
  <sortState xmlns:xlrd2="http://schemas.microsoft.com/office/spreadsheetml/2017/richdata2" ref="F53:J98">
    <sortCondition descending="1" ref="J53:J98"/>
  </sortState>
  <mergeCells count="59">
    <mergeCell ref="A1:J1"/>
    <mergeCell ref="K25:K26"/>
    <mergeCell ref="L25:N26"/>
    <mergeCell ref="K10:K11"/>
    <mergeCell ref="K1:K2"/>
    <mergeCell ref="L1:N2"/>
    <mergeCell ref="K18:K19"/>
    <mergeCell ref="L18:N19"/>
    <mergeCell ref="L10:N11"/>
    <mergeCell ref="O10:Q11"/>
    <mergeCell ref="O1:Q2"/>
    <mergeCell ref="BD1:BF2"/>
    <mergeCell ref="BA1:BC2"/>
    <mergeCell ref="BA10:BC11"/>
    <mergeCell ref="AX10:AZ11"/>
    <mergeCell ref="AU10:AW11"/>
    <mergeCell ref="AX1:AZ2"/>
    <mergeCell ref="AU1:AW2"/>
    <mergeCell ref="AR1:AT2"/>
    <mergeCell ref="AR10:AT11"/>
    <mergeCell ref="AO1:AQ2"/>
    <mergeCell ref="R10:T11"/>
    <mergeCell ref="AO10:AQ11"/>
    <mergeCell ref="AL1:AN2"/>
    <mergeCell ref="AL10:AN11"/>
    <mergeCell ref="AI1:AK2"/>
    <mergeCell ref="AI10:AK11"/>
    <mergeCell ref="R1:S2"/>
    <mergeCell ref="AF1:AH2"/>
    <mergeCell ref="AF10:AH11"/>
    <mergeCell ref="U10:W11"/>
    <mergeCell ref="W1:Y2"/>
    <mergeCell ref="T1:V2"/>
    <mergeCell ref="AC1:AE2"/>
    <mergeCell ref="AC10:AE11"/>
    <mergeCell ref="BA18:BC19"/>
    <mergeCell ref="AU18:AW19"/>
    <mergeCell ref="AO25:AQ26"/>
    <mergeCell ref="R18:T19"/>
    <mergeCell ref="AR18:AT19"/>
    <mergeCell ref="AX18:AZ19"/>
    <mergeCell ref="AU25:AW26"/>
    <mergeCell ref="AR25:AT26"/>
    <mergeCell ref="AL25:AN26"/>
    <mergeCell ref="AI18:AK19"/>
    <mergeCell ref="AI25:AK26"/>
    <mergeCell ref="AL18:AN19"/>
    <mergeCell ref="AO18:AQ19"/>
    <mergeCell ref="U18:W19"/>
    <mergeCell ref="AC18:AE19"/>
    <mergeCell ref="AC25:AE26"/>
    <mergeCell ref="A100:J100"/>
    <mergeCell ref="O18:Q19"/>
    <mergeCell ref="AF18:AH19"/>
    <mergeCell ref="AF25:AH26"/>
    <mergeCell ref="K33:W33"/>
    <mergeCell ref="O25:Q26"/>
    <mergeCell ref="U25:W26"/>
    <mergeCell ref="R25:T26"/>
  </mergeCells>
  <pageMargins left="0.7" right="0.7" top="0.75" bottom="0.75" header="0.3" footer="0.3"/>
  <pageSetup paperSize="9" orientation="portrait" r:id="rId1"/>
  <ignoredErrors>
    <ignoredError sqref="E42 E6 J6 J33 E33 J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1414</vt:i4>
      </vt:variant>
    </vt:vector>
  </HeadingPairs>
  <TitlesOfParts>
    <vt:vector size="1426" baseType="lpstr">
      <vt:lpstr>BTH</vt:lpstr>
      <vt:lpstr>BRI</vt:lpstr>
      <vt:lpstr>EXE</vt:lpstr>
      <vt:lpstr>GLO</vt:lpstr>
      <vt:lpstr>HAR</vt:lpstr>
      <vt:lpstr>LEI</vt:lpstr>
      <vt:lpstr>NRB</vt:lpstr>
      <vt:lpstr>NOR</vt:lpstr>
      <vt:lpstr>SAL</vt:lpstr>
      <vt:lpstr>SAR</vt:lpstr>
      <vt:lpstr>PREM - OVERALL</vt:lpstr>
      <vt:lpstr>PRM CUP - OVERALL</vt:lpstr>
      <vt:lpstr>A_Wallerpts</vt:lpstr>
      <vt:lpstr>A_Wallertries</vt:lpstr>
      <vt:lpstr>adegbemilesarpremcuppts</vt:lpstr>
      <vt:lpstr>adegbemilesarpremcuptries</vt:lpstr>
      <vt:lpstr>Adejimisarpts</vt:lpstr>
      <vt:lpstr>Adejimisartries</vt:lpstr>
      <vt:lpstr>Alemannoglopts</vt:lpstr>
      <vt:lpstr>Alemannoglotries</vt:lpstr>
      <vt:lpstr>allanleipremcuppts</vt:lpstr>
      <vt:lpstr>allanleipremcuptries</vt:lpstr>
      <vt:lpstr>allinsonliatt</vt:lpstr>
      <vt:lpstr>allinsonligoals</vt:lpstr>
      <vt:lpstr>Allportglopts</vt:lpstr>
      <vt:lpstr>Allportglotries</vt:lpstr>
      <vt:lpstr>Andersonharpts</vt:lpstr>
      <vt:lpstr>Andersonhartries</vt:lpstr>
      <vt:lpstr>Andrewssalpts</vt:lpstr>
      <vt:lpstr>Andrewssaltries</vt:lpstr>
      <vt:lpstr>Armanddonpts</vt:lpstr>
      <vt:lpstr>Armanddontries</vt:lpstr>
      <vt:lpstr>Arnoldnewpts</vt:lpstr>
      <vt:lpstr>Arnoldnewtries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Attwoodpts</vt:lpstr>
      <vt:lpstr>Austinglopts</vt:lpstr>
      <vt:lpstr>Austinglotries</vt:lpstr>
      <vt:lpstr>baileybthatt</vt:lpstr>
      <vt:lpstr>Baileybthgls</vt:lpstr>
      <vt:lpstr>Baileybthpts</vt:lpstr>
      <vt:lpstr>Baileybthtries</vt:lpstr>
      <vt:lpstr>Baileyleipremcupatt</vt:lpstr>
      <vt:lpstr>Baileyleipremcupgls</vt:lpstr>
      <vt:lpstr>baileyleipremcuppts</vt:lpstr>
      <vt:lpstr>baileyleipremcuptries</vt:lpstr>
      <vt:lpstr>Bakerbripts</vt:lpstr>
      <vt:lpstr>Bakerbritries</vt:lpstr>
      <vt:lpstr>Balmainsarpts</vt:lpstr>
      <vt:lpstr>Balmainsartries</vt:lpstr>
      <vt:lpstr>BamberSALpts</vt:lpstr>
      <vt:lpstr>BamberSALtries</vt:lpstr>
      <vt:lpstr>Barbearybthpts</vt:lpstr>
      <vt:lpstr>Barbearybthtries</vt:lpstr>
      <vt:lpstr>Barkerbripts</vt:lpstr>
      <vt:lpstr>Barkerbritries</vt:lpstr>
      <vt:lpstr>Barrittbradpts</vt:lpstr>
      <vt:lpstr>Barrittbradtries</vt:lpstr>
      <vt:lpstr>Bartongloatt</vt:lpstr>
      <vt:lpstr>Bartonglogls</vt:lpstr>
      <vt:lpstr>Bartonglopremcupatt</vt:lpstr>
      <vt:lpstr>Bartonglopremcupgls</vt:lpstr>
      <vt:lpstr>bartonglopremcuppfts</vt:lpstr>
      <vt:lpstr>bartonglopremcuptries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Beatonsarpts</vt:lpstr>
      <vt:lpstr>Beatonsartries</vt:lpstr>
      <vt:lpstr>becconsallexeatt</vt:lpstr>
      <vt:lpstr>becconsallexegls</vt:lpstr>
      <vt:lpstr>Bedlow_Jsalpts</vt:lpstr>
      <vt:lpstr>Bedlow_Jsaltries</vt:lpstr>
      <vt:lpstr>Bedlowbripts</vt:lpstr>
      <vt:lpstr>bedlowbritries</vt:lpstr>
      <vt:lpstr>BedlowSAL_pts</vt:lpstr>
      <vt:lpstr>BedlowSAL_tries</vt:lpstr>
      <vt:lpstr>bedlowsalattcorrect</vt:lpstr>
      <vt:lpstr>bedlowsalglscorrect</vt:lpstr>
      <vt:lpstr>Beetsleicpts</vt:lpstr>
      <vt:lpstr>Beetsleictries</vt:lpstr>
      <vt:lpstr>belleaunoratt</vt:lpstr>
      <vt:lpstr>belleaunorgls</vt:lpstr>
      <vt:lpstr>Belleaunorpremcupatt</vt:lpstr>
      <vt:lpstr>Belleaunorpremcupgls</vt:lpstr>
      <vt:lpstr>Belleaunorpremcuppts</vt:lpstr>
      <vt:lpstr>Belleaunorpremcuptries</vt:lpstr>
      <vt:lpstr>Bellonewpts</vt:lpstr>
      <vt:lpstr>Bellonewtries</vt:lpstr>
      <vt:lpstr>bensonharatt</vt:lpstr>
      <vt:lpstr>bensonhargls</vt:lpstr>
      <vt:lpstr>Bensonharpremcupatt</vt:lpstr>
      <vt:lpstr>Bensonharpremcupgls</vt:lpstr>
      <vt:lpstr>bensonharpremcuppts</vt:lpstr>
      <vt:lpstr>bensonharpremcuptries</vt:lpstr>
      <vt:lpstr>Bensonharpts</vt:lpstr>
      <vt:lpstr>Bensonhartries</vt:lpstr>
      <vt:lpstr>Bensonnorpts</vt:lpstr>
      <vt:lpstr>Bensonnortries</vt:lpstr>
      <vt:lpstr>bevanbripremcuppts</vt:lpstr>
      <vt:lpstr>bevanbripremcuptries</vt:lpstr>
      <vt:lpstr>Birchsalpts</vt:lpstr>
      <vt:lpstr>Birchsaltries</vt:lpstr>
      <vt:lpstr>Blackmoreglopts</vt:lpstr>
      <vt:lpstr>Blackmoreglotries</vt:lpstr>
      <vt:lpstr>Blakeglopts</vt:lpstr>
      <vt:lpstr>Blakeglotries</vt:lpstr>
      <vt:lpstr>blamireleipremcuppts</vt:lpstr>
      <vt:lpstr>blamireleipremcuptries</vt:lpstr>
      <vt:lpstr>Blommetjiesleicpts</vt:lpstr>
      <vt:lpstr>Blommetjiesleictries</vt:lpstr>
      <vt:lpstr>Boschmarcelopts</vt:lpstr>
      <vt:lpstr>Boschmarcelotries</vt:lpstr>
      <vt:lpstr>boshoffbripremcuppts</vt:lpstr>
      <vt:lpstr>boshoffbripremcuptries</vt:lpstr>
      <vt:lpstr>Bracken_CSARPTS</vt:lpstr>
      <vt:lpstr>Bracken_CSARTRIES</vt:lpstr>
      <vt:lpstr>brackencsarpremcuppts</vt:lpstr>
      <vt:lpstr>brackencsarpremcuptries</vt:lpstr>
      <vt:lpstr>brackenjsarpremcuppts</vt:lpstr>
      <vt:lpstr>brackenjsarpremcuptries</vt:lpstr>
      <vt:lpstr>Brackensarpts</vt:lpstr>
      <vt:lpstr>Brackensartries</vt:lpstr>
      <vt:lpstr>bradleyharpremcuppts</vt:lpstr>
      <vt:lpstr>bradleyharpremcuptries</vt:lpstr>
      <vt:lpstr>Bradleyharpts</vt:lpstr>
      <vt:lpstr>Bradleyhartries</vt:lpstr>
      <vt:lpstr>Braleynorptscorrect</vt:lpstr>
      <vt:lpstr>Braleynortriescorrect</vt:lpstr>
      <vt:lpstr>Brantinghamsarpts</vt:lpstr>
      <vt:lpstr>Brantinghamsartries</vt:lpstr>
      <vt:lpstr>BristolPts</vt:lpstr>
      <vt:lpstr>BristolTries</vt:lpstr>
      <vt:lpstr>Brown_Bampoeexepts</vt:lpstr>
      <vt:lpstr>Brown_Bampoeexetries</vt:lpstr>
      <vt:lpstr>BrowneHARpts</vt:lpstr>
      <vt:lpstr>BrowneHARtries</vt:lpstr>
      <vt:lpstr>brownnorpremcuppts</vt:lpstr>
      <vt:lpstr>brownnorpremcuptries</vt:lpstr>
      <vt:lpstr>brownnorpts</vt:lpstr>
      <vt:lpstr>brownnortries</vt:lpstr>
      <vt:lpstr>Bryansarpts</vt:lpstr>
      <vt:lpstr>Bryansartries</vt:lpstr>
      <vt:lpstr>Burgerjacquespts</vt:lpstr>
      <vt:lpstr>Burgerjacquestries</vt:lpstr>
      <vt:lpstr>Burrellnewpts</vt:lpstr>
      <vt:lpstr>Burrellnewtries</vt:lpstr>
      <vt:lpstr>Burrowsalpts</vt:lpstr>
      <vt:lpstr>Burrowsaltries</vt:lpstr>
      <vt:lpstr>BurrowsEXEpts</vt:lpstr>
      <vt:lpstr>BurrowsEXEtries</vt:lpstr>
      <vt:lpstr>Butlerglopts</vt:lpstr>
      <vt:lpstr>Butlerglotries</vt:lpstr>
      <vt:lpstr>buttbthpremcuppts</vt:lpstr>
      <vt:lpstr>buttbthpremcuptries</vt:lpstr>
      <vt:lpstr>Buttbthpts</vt:lpstr>
      <vt:lpstr>Buttbthtries</vt:lpstr>
      <vt:lpstr>Byrneglopremcupatt</vt:lpstr>
      <vt:lpstr>Byrneglopremcupgls</vt:lpstr>
      <vt:lpstr>byrneglopremcuppts</vt:lpstr>
      <vt:lpstr>byrneglopremcuptries</vt:lpstr>
      <vt:lpstr>Byrneglopts</vt:lpstr>
      <vt:lpstr>Byrneglotries</vt:lpstr>
      <vt:lpstr>cainesalpremcuppts</vt:lpstr>
      <vt:lpstr>cainesalpremcuptries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Caluorisarpts</vt:lpstr>
      <vt:lpstr>Caluorisartries</vt:lpstr>
      <vt:lpstr>Caponbripts</vt:lpstr>
      <vt:lpstr>Caponbritries</vt:lpstr>
      <vt:lpstr>Capstickexepts</vt:lpstr>
      <vt:lpstr>Capstickexetries</vt:lpstr>
      <vt:lpstr>caqusaunorpremcuppts</vt:lpstr>
      <vt:lpstr>caqusaunorpremcuptries</vt:lpstr>
      <vt:lpstr>Carnduffleipts</vt:lpstr>
      <vt:lpstr>Carnduffleitries</vt:lpstr>
      <vt:lpstr>Carpentersalpts</vt:lpstr>
      <vt:lpstr>Carpentersaltries</vt:lpstr>
      <vt:lpstr>Carrerasbthpts</vt:lpstr>
      <vt:lpstr>Carrerasbthtries</vt:lpstr>
      <vt:lpstr>Carrerasglopts</vt:lpstr>
      <vt:lpstr>Carrerasglotries</vt:lpstr>
      <vt:lpstr>Carrerasnewpts</vt:lpstr>
      <vt:lpstr>Carrerasnewtries</vt:lpstr>
      <vt:lpstr>Carresarpts</vt:lpstr>
      <vt:lpstr>Carresartries</vt:lpstr>
      <vt:lpstr>Carrharpts</vt:lpstr>
      <vt:lpstr>Carrhartries</vt:lpstr>
      <vt:lpstr>carringtonbripremcuppts</vt:lpstr>
      <vt:lpstr>carringtonbripremcuptries</vt:lpstr>
      <vt:lpstr>CaulfieldBRIpts</vt:lpstr>
      <vt:lpstr>CaulfieldBRItries</vt:lpstr>
      <vt:lpstr>cavenglopremcuppts</vt:lpstr>
      <vt:lpstr>cavenglopremcuptries</vt:lpstr>
      <vt:lpstr>Challengerbripts</vt:lpstr>
      <vt:lpstr>Challengerbritries</vt:lpstr>
      <vt:lpstr>Chamberlainnrbatt</vt:lpstr>
      <vt:lpstr>Chamberlainnrbgls</vt:lpstr>
      <vt:lpstr>chapmangloatt</vt:lpstr>
      <vt:lpstr>chapmanglogls</vt:lpstr>
      <vt:lpstr>Chessum_Lleipts</vt:lpstr>
      <vt:lpstr>Chessum_Lleitries</vt:lpstr>
      <vt:lpstr>Chessumleicpts</vt:lpstr>
      <vt:lpstr>Chessumleictries</vt:lpstr>
      <vt:lpstr>chicknorpremcuppts</vt:lpstr>
      <vt:lpstr>chicknorpremcuptries</vt:lpstr>
      <vt:lpstr>Chisholmjamesharpts</vt:lpstr>
      <vt:lpstr>Chisholmjameshartries</vt:lpstr>
      <vt:lpstr>Christienrbpremcuppts</vt:lpstr>
      <vt:lpstr>Christienrbpremcuptries</vt:lpstr>
      <vt:lpstr>Christienrbpts</vt:lpstr>
      <vt:lpstr>Christienrbtries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clareleipremcuppts</vt:lpstr>
      <vt:lpstr>clareleipremcuptries</vt:lpstr>
      <vt:lpstr>Clareysarptscorrect</vt:lpstr>
      <vt:lpstr>Clareysartriescorrect</vt:lpstr>
      <vt:lpstr>Clarkesarpremcuppts</vt:lpstr>
      <vt:lpstr>Clarkesarpremcuptries</vt:lpstr>
      <vt:lpstr>Clarkesarpts</vt:lpstr>
      <vt:lpstr>Clarkesartries</vt:lpstr>
      <vt:lpstr>Clarkglopts</vt:lpstr>
      <vt:lpstr>Clarkglotries</vt:lpstr>
      <vt:lpstr>Clarknewpts</vt:lpstr>
      <vt:lpstr>Clarknewtries</vt:lpstr>
      <vt:lpstr>cleavesharpremcuppts</vt:lpstr>
      <vt:lpstr>cleavesharpremcuptries</vt:lpstr>
      <vt:lpstr>Cleavesharpts</vt:lpstr>
      <vt:lpstr>Cleaveshartries</vt:lpstr>
      <vt:lpstr>Coenexepremcupatt</vt:lpstr>
      <vt:lpstr>Coenexepremcupgls</vt:lpstr>
      <vt:lpstr>Coenexepremcuppts</vt:lpstr>
      <vt:lpstr>Coenexepremcuptries</vt:lpstr>
      <vt:lpstr>Coenexepts</vt:lpstr>
      <vt:lpstr>Coenexetries</vt:lpstr>
      <vt:lpstr>Coetzeenrbpts</vt:lpstr>
      <vt:lpstr>Coetzeenrbtries</vt:lpstr>
      <vt:lpstr>Coetzerglopts</vt:lpstr>
      <vt:lpstr>Coetzerglotries</vt:lpstr>
      <vt:lpstr>Cokanasigabthpts</vt:lpstr>
      <vt:lpstr>Cokanasigabthtries</vt:lpstr>
      <vt:lpstr>Colesnorpts</vt:lpstr>
      <vt:lpstr>Colesnortries</vt:lpstr>
      <vt:lpstr>Connonnewptscorrectthisone</vt:lpstr>
      <vt:lpstr>Connonnewtriescorrectthsione</vt:lpstr>
      <vt:lpstr>Connonnrbpremcupatt</vt:lpstr>
      <vt:lpstr>Connonnrbpremcupgls</vt:lpstr>
      <vt:lpstr>connonnrbpremcuppts</vt:lpstr>
      <vt:lpstr>connonnrbpremcuptries</vt:lpstr>
      <vt:lpstr>Cookbthpts</vt:lpstr>
      <vt:lpstr>Cookbthtries</vt:lpstr>
      <vt:lpstr>Cookchrispts</vt:lpstr>
      <vt:lpstr>Cookchristries</vt:lpstr>
      <vt:lpstr>cotgreaveglopremcuppts</vt:lpstr>
      <vt:lpstr>cotgreaveglopremcuptries</vt:lpstr>
      <vt:lpstr>Cotgreaveglopts</vt:lpstr>
      <vt:lpstr>Cotgreaveglotries</vt:lpstr>
      <vt:lpstr>Courtlipts</vt:lpstr>
      <vt:lpstr>Courtlitries</vt:lpstr>
      <vt:lpstr>Cowan_Dickiesalpts</vt:lpstr>
      <vt:lpstr>Cowan_Dickiesaltries</vt:lpstr>
      <vt:lpstr>cowanbthpremcuppts</vt:lpstr>
      <vt:lpstr>cowanbthpremcuptries</vt:lpstr>
      <vt:lpstr>Cowanbthpts</vt:lpstr>
      <vt:lpstr>Cowanbthtries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Crippsbripts</vt:lpstr>
      <vt:lpstr>Crippsbritries</vt:lpstr>
      <vt:lpstr>Crossdalesarptscorrect</vt:lpstr>
      <vt:lpstr>Crossdalesartriescorrect</vt:lpstr>
      <vt:lpstr>crowleyleipremcuppts</vt:lpstr>
      <vt:lpstr>crowleyleipremcuptries</vt:lpstr>
      <vt:lpstr>Cunningham_Sthharpts</vt:lpstr>
      <vt:lpstr>Cunningham_Sthhartries</vt:lpstr>
      <vt:lpstr>Curry_Bsalpts</vt:lpstr>
      <vt:lpstr>Curry_Bsaltries</vt:lpstr>
      <vt:lpstr>Curry_Tsalpts</vt:lpstr>
      <vt:lpstr>Curry_Tsaltries</vt:lpstr>
      <vt:lpstr>CURTISSALATT</vt:lpstr>
      <vt:lpstr>CURTISSALGLS</vt:lpstr>
      <vt:lpstr>Curtissalpremcupatt</vt:lpstr>
      <vt:lpstr>Curtissalpremcupgls</vt:lpstr>
      <vt:lpstr>curtissalpremcuppts</vt:lpstr>
      <vt:lpstr>curtissalpremcuptries</vt:lpstr>
      <vt:lpstr>Curtissalpts</vt:lpstr>
      <vt:lpstr>Curtissaltries</vt:lpstr>
      <vt:lpstr>Daltonnewpts</vt:lpstr>
      <vt:lpstr>Daltonnewtries</vt:lpstr>
      <vt:lpstr>Dalysarptscorrect</vt:lpstr>
      <vt:lpstr>Dalysartriescorrect</vt:lpstr>
      <vt:lpstr>Dansarpts</vt:lpstr>
      <vt:lpstr>Dansartries</vt:lpstr>
      <vt:lpstr>Davidharpts</vt:lpstr>
      <vt:lpstr>Davidhartries</vt:lpstr>
      <vt:lpstr>DavidsonNORpts</vt:lpstr>
      <vt:lpstr>DavidsonNORtries</vt:lpstr>
      <vt:lpstr>Davidsonsarpremcuppts</vt:lpstr>
      <vt:lpstr>Davidsonsarpremcuptries</vt:lpstr>
      <vt:lpstr>Davidsonsarpts</vt:lpstr>
      <vt:lpstr>Davidsonsartrie</vt:lpstr>
      <vt:lpstr>daviesglopremcuppts</vt:lpstr>
      <vt:lpstr>daviesglopremcuptries</vt:lpstr>
      <vt:lpstr>daviessalpremcuppts</vt:lpstr>
      <vt:lpstr>daviessalpremcuptries</vt:lpstr>
      <vt:lpstr>Davisexepoints</vt:lpstr>
      <vt:lpstr>Davisexetrie</vt:lpstr>
      <vt:lpstr>de_Bruinnewpts</vt:lpstr>
      <vt:lpstr>de_Bruinnewtries</vt:lpstr>
      <vt:lpstr>de_ChavesNEWpts</vt:lpstr>
      <vt:lpstr>de_ChavesNEWtries</vt:lpstr>
      <vt:lpstr>de_Gl_villebthpremcupatt</vt:lpstr>
      <vt:lpstr>de_Gl_villebthpremcupgls</vt:lpstr>
      <vt:lpstr>de_Glanvillebthgls</vt:lpstr>
      <vt:lpstr>de_Jagersalpts</vt:lpstr>
      <vt:lpstr>de_Jagersaltries</vt:lpstr>
      <vt:lpstr>deglanvillebthatt</vt:lpstr>
      <vt:lpstr>deglanvillebthpremcuppts</vt:lpstr>
      <vt:lpstr>deglanvillebthpremcuptries</vt:lpstr>
      <vt:lpstr>Delmasbthpts</vt:lpstr>
      <vt:lpstr>Delmasbthtries</vt:lpstr>
      <vt:lpstr>Dentonglopts</vt:lpstr>
      <vt:lpstr>Dentonglotries</vt:lpstr>
      <vt:lpstr>Diaz_Bonilla_Jleicpts</vt:lpstr>
      <vt:lpstr>Diaz_Bonilla_Jleictries</vt:lpstr>
      <vt:lpstr>Dingwallnorpts</vt:lpstr>
      <vt:lpstr>Dingwallnortries</vt:lpstr>
      <vt:lpstr>Dohertynewpts</vt:lpstr>
      <vt:lpstr>Dohertynewtries</vt:lpstr>
      <vt:lpstr>Dombrandtharpts</vt:lpstr>
      <vt:lpstr>Dombrandthartries</vt:lpstr>
      <vt:lpstr>Donoghuebthpts</vt:lpstr>
      <vt:lpstr>Donoghuebthtries</vt:lpstr>
      <vt:lpstr>driscollharpremcuppts</vt:lpstr>
      <vt:lpstr>driscollharpremcuptries</vt:lpstr>
      <vt:lpstr>du_Plessissarpts</vt:lpstr>
      <vt:lpstr>du_Plessissartries</vt:lpstr>
      <vt:lpstr>du_Preez_Dsalpts</vt:lpstr>
      <vt:lpstr>du_Preez_Dsaltries</vt:lpstr>
      <vt:lpstr>du_Preez_Rsalpts</vt:lpstr>
      <vt:lpstr>du_Preez_Rsaltries</vt:lpstr>
      <vt:lpstr>du_Toitbthpts</vt:lpstr>
      <vt:lpstr>du_Toitbthtries</vt:lpstr>
      <vt:lpstr>dugdalealpremcuppts</vt:lpstr>
      <vt:lpstr>dugdalealpremcuptries</vt:lpstr>
      <vt:lpstr>Dugdalesalpts</vt:lpstr>
      <vt:lpstr>Dugdalesaltries</vt:lpstr>
      <vt:lpstr>Dunnbattries</vt:lpstr>
      <vt:lpstr>Dunneexepts</vt:lpstr>
      <vt:lpstr>Dunneexetries</vt:lpstr>
      <vt:lpstr>Dunntompts</vt:lpstr>
      <vt:lpstr>dupreezralpremcuppts</vt:lpstr>
      <vt:lpstr>dupreezralpremcuptries</vt:lpstr>
      <vt:lpstr>dupreezrsalpremcupatt</vt:lpstr>
      <vt:lpstr>dupreezrsalpremcupgls</vt:lpstr>
      <vt:lpstr>dupreezsalatt</vt:lpstr>
      <vt:lpstr>dupreezsalgls</vt:lpstr>
      <vt:lpstr>dupreezsalpts</vt:lpstr>
      <vt:lpstr>dwebaexepremcuppts</vt:lpstr>
      <vt:lpstr>dwebaexepremcuptries</vt:lpstr>
      <vt:lpstr>Earlsarptscorrect</vt:lpstr>
      <vt:lpstr>Earlsartriescorrect</vt:lpstr>
      <vt:lpstr>Edwards_Giraudglopts</vt:lpstr>
      <vt:lpstr>Edwards_Giraudglotries</vt:lpstr>
      <vt:lpstr>edwardsgiraudglopremcuppts</vt:lpstr>
      <vt:lpstr>edwardsgiraudglopremcuptries</vt:lpstr>
      <vt:lpstr>Edwardsharpts</vt:lpstr>
      <vt:lpstr>Edwardshartries</vt:lpstr>
      <vt:lpstr>elizaldebriatt</vt:lpstr>
      <vt:lpstr>elizaldebrigls</vt:lpstr>
      <vt:lpstr>Elizaldebritries</vt:lpstr>
      <vt:lpstr>Elizaldebtipts</vt:lpstr>
      <vt:lpstr>elliottsaratt</vt:lpstr>
      <vt:lpstr>elliottsargls</vt:lpstr>
      <vt:lpstr>Elliottsarpts</vt:lpstr>
      <vt:lpstr>Elliottsartries</vt:lpstr>
      <vt:lpstr>Elsharpremcuppts</vt:lpstr>
      <vt:lpstr>Elsharpremcuptries</vt:lpstr>
      <vt:lpstr>emensbthpremcuppts</vt:lpstr>
      <vt:lpstr>emensbthpremcuptries</vt:lpstr>
      <vt:lpstr>Emensbthpts</vt:lpstr>
      <vt:lpstr>Emensbthtries</vt:lpstr>
      <vt:lpstr>EneSALpts</vt:lpstr>
      <vt:lpstr>EneSALtries</vt:lpstr>
      <vt:lpstr>englefieldgloatt</vt:lpstr>
      <vt:lpstr>englefieldglogls</vt:lpstr>
      <vt:lpstr>Englefieldglopts</vt:lpstr>
      <vt:lpstr>Englefieldglotries</vt:lpstr>
      <vt:lpstr>Evans_Jharpremcupatt</vt:lpstr>
      <vt:lpstr>Evans_Jharpremcupgls</vt:lpstr>
      <vt:lpstr>Evans_Jharpremcuppts</vt:lpstr>
      <vt:lpstr>Evans_Jharpremcuptries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Farrellsarattsecondspell</vt:lpstr>
      <vt:lpstr>farrellsarglscorrect</vt:lpstr>
      <vt:lpstr>Farrellsarglssecondspell</vt:lpstr>
      <vt:lpstr>Farrellsarpts</vt:lpstr>
      <vt:lpstr>Farrellsarptscorrect</vt:lpstr>
      <vt:lpstr>Farrellsarptssecondspell</vt:lpstr>
      <vt:lpstr>Farrellsartries</vt:lpstr>
      <vt:lpstr>farrellsartriescorrect</vt:lpstr>
      <vt:lpstr>Farrellsartriessecondspell</vt:lpstr>
      <vt:lpstr>Fenbylipts</vt:lpstr>
      <vt:lpstr>Fenbylitries</vt:lpstr>
      <vt:lpstr>Feyi_Wabosoexepts</vt:lpstr>
      <vt:lpstr>Feyi_Wabosoexetries</vt:lpstr>
      <vt:lpstr>Fischettinorpts</vt:lpstr>
      <vt:lpstr>Fischettinortries</vt:lpstr>
      <vt:lpstr>Fisilau</vt:lpstr>
      <vt:lpstr>FisilauEXEpts</vt:lpstr>
      <vt:lpstr>FisilauEXEtries</vt:lpstr>
      <vt:lpstr>fletchernrbpremcuppts</vt:lpstr>
      <vt:lpstr>fletchernrbpremcuptries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Freemannorpts</vt:lpstr>
      <vt:lpstr>Freemannortries</vt:lpstr>
      <vt:lpstr>freemanpriceglopremcuppts</vt:lpstr>
      <vt:lpstr>freemanpriceglopremcuptries</vt:lpstr>
      <vt:lpstr>freemanpriceglopts</vt:lpstr>
      <vt:lpstr>freemanpriceglotries</vt:lpstr>
      <vt:lpstr>Frischbripts</vt:lpstr>
      <vt:lpstr>Frischbritries</vt:lpstr>
      <vt:lpstr>frostbthpremcuppts</vt:lpstr>
      <vt:lpstr>frostbthpremcuptries</vt:lpstr>
      <vt:lpstr>furbanknoratt</vt:lpstr>
      <vt:lpstr>furbanknorgls</vt:lpstr>
      <vt:lpstr>furbanknorpremcupatt</vt:lpstr>
      <vt:lpstr>Furbanknorpremcupgls</vt:lpstr>
      <vt:lpstr>furbanknorpremcuppts</vt:lpstr>
      <vt:lpstr>furbanknorpremcuptries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Gordonnewpts</vt:lpstr>
      <vt:lpstr>Gordonnewtries</vt:lpstr>
      <vt:lpstr>grahamnorpremcuppts</vt:lpstr>
      <vt:lpstr>grahamnorpremcuptries</vt:lpstr>
      <vt:lpstr>grahamslawbripremcuppts</vt:lpstr>
      <vt:lpstr>grahamslawbripremcuptries</vt:lpstr>
      <vt:lpstr>Grahamslawbripts</vt:lpstr>
      <vt:lpstr>Grahamslawbritries</vt:lpstr>
      <vt:lpstr>Grayexeeurtries</vt:lpstr>
      <vt:lpstr>Grayexepts</vt:lpstr>
      <vt:lpstr>Grayexetries</vt:lpstr>
      <vt:lpstr>Grayjoeharpts</vt:lpstr>
      <vt:lpstr>Grayjoehartries</vt:lpstr>
      <vt:lpstr>Graysonnewatt</vt:lpstr>
      <vt:lpstr>Graysonnewgls</vt:lpstr>
      <vt:lpstr>Graysonnewpts</vt:lpstr>
      <vt:lpstr>Graysonnewtries</vt:lpstr>
      <vt:lpstr>greenbthpremcuppts</vt:lpstr>
      <vt:lpstr>greenbthpremcuptries</vt:lpstr>
      <vt:lpstr>Greenbthptscorrect</vt:lpstr>
      <vt:lpstr>Greenbthtriescorrect</vt:lpstr>
      <vt:lpstr>Greenharpts</vt:lpstr>
      <vt:lpstr>Greenhartries</vt:lpstr>
      <vt:lpstr>Greennorpts</vt:lpstr>
      <vt:lpstr>Greennortries</vt:lpstr>
      <vt:lpstr>Griffinbthpts</vt:lpstr>
      <vt:lpstr>Griffinbthtries</vt:lpstr>
      <vt:lpstr>griffincbthpremcuppts</vt:lpstr>
      <vt:lpstr>griffincbthpremcuptries</vt:lpstr>
      <vt:lpstr>Grondona_Bbripts</vt:lpstr>
      <vt:lpstr>Grondona_Bbritries</vt:lpstr>
      <vt:lpstr>Grondona_Sbripts</vt:lpstr>
      <vt:lpstr>Grondona_Sbritries</vt:lpstr>
      <vt:lpstr>gulleyexepremcuppts</vt:lpstr>
      <vt:lpstr>gulleyexepremcupptscorrect</vt:lpstr>
      <vt:lpstr>gulleyexepremcuptries</vt:lpstr>
      <vt:lpstr>Gulleyexepts</vt:lpstr>
      <vt:lpstr>Gulleyexeptscorrect</vt:lpstr>
      <vt:lpstr>Gulleyexetries</vt:lpstr>
      <vt:lpstr>gwilliambripremcup</vt:lpstr>
      <vt:lpstr>gwilliambripremcuppts</vt:lpstr>
      <vt:lpstr>gwilliambripremcuptries</vt:lpstr>
      <vt:lpstr>Gwilliambripts</vt:lpstr>
      <vt:lpstr>Gwilliambritries</vt:lpstr>
      <vt:lpstr>Hadfieldsarpts</vt:lpstr>
      <vt:lpstr>Hadfieldsartries</vt:lpstr>
      <vt:lpstr>Hainingbripts</vt:lpstr>
      <vt:lpstr>Hainingbritries</vt:lpstr>
      <vt:lpstr>Halaifonuaglopts</vt:lpstr>
      <vt:lpstr>Halaifonuaglotries</vt:lpstr>
      <vt:lpstr>Halliwellbripts</vt:lpstr>
      <vt:lpstr>Halliwellbritries</vt:lpstr>
      <vt:lpstr>hallsarpremcuppts</vt:lpstr>
      <vt:lpstr>hallsarpremcuptries</vt:lpstr>
      <vt:lpstr>Hallsarpts</vt:lpstr>
      <vt:lpstr>Hallsartries</vt:lpstr>
      <vt:lpstr>HammersleyEXEpts</vt:lpstr>
      <vt:lpstr>HammersleyEXEtries</vt:lpstr>
      <vt:lpstr>Hammicksarpts</vt:lpstr>
      <vt:lpstr>Hammicksartries</vt:lpstr>
      <vt:lpstr>hansonsalpremcuppts</vt:lpstr>
      <vt:lpstr>hansonsalpremcuptries</vt:lpstr>
      <vt:lpstr>Hardingbripts</vt:lpstr>
      <vt:lpstr>Hardingbritries</vt:lpstr>
      <vt:lpstr>harisbthatt</vt:lpstr>
      <vt:lpstr>HarlequinsPts</vt:lpstr>
      <vt:lpstr>HarlequinsTries</vt:lpstr>
      <vt:lpstr>harpersalpremcuppts</vt:lpstr>
      <vt:lpstr>harpersalpremcuptries</vt:lpstr>
      <vt:lpstr>Harpersalpts</vt:lpstr>
      <vt:lpstr>Harpersaltries</vt:lpstr>
      <vt:lpstr>Harrisbthgls</vt:lpstr>
      <vt:lpstr>Harrisbthpts</vt:lpstr>
      <vt:lpstr>Harrisbthtries</vt:lpstr>
      <vt:lpstr>Harrisonsalpts</vt:lpstr>
      <vt:lpstr>Harrisonsaltris</vt:lpstr>
      <vt:lpstr>Harrisonsampts</vt:lpstr>
      <vt:lpstr>Harrisonsamtries</vt:lpstr>
      <vt:lpstr>hartleysarpremcuppts</vt:lpstr>
      <vt:lpstr>hartleysarpremcuptries</vt:lpstr>
      <vt:lpstr>Hartleysarpts</vt:lpstr>
      <vt:lpstr>Hartleysartries</vt:lpstr>
      <vt:lpstr>Hartryscorers</vt:lpstr>
      <vt:lpstr>Hassell_CollinsLEIpts</vt:lpstr>
      <vt:lpstr>Hassell_CollinsLEItries</vt:lpstr>
      <vt:lpstr>hathawayglopremcuppts</vt:lpstr>
      <vt:lpstr>hathawayglopremcuptries</vt:lpstr>
      <vt:lpstr>HathawayGLOpts</vt:lpstr>
      <vt:lpstr>HathawayGLOtries</vt:lpstr>
      <vt:lpstr>Haydon_Wexepremcupatt</vt:lpstr>
      <vt:lpstr>Haydon_Wexepremcupgls</vt:lpstr>
      <vt:lpstr>Haydon_WoodEXEtries</vt:lpstr>
      <vt:lpstr>Haydon_Woodnewpts</vt:lpstr>
      <vt:lpstr>Haydon_Woodnewtries</vt:lpstr>
      <vt:lpstr>HAYDONWOODEXEATT</vt:lpstr>
      <vt:lpstr>HAYDONWOODEXEGLS</vt:lpstr>
      <vt:lpstr>haydonwoodexepremcuppts</vt:lpstr>
      <vt:lpstr>haydonwoodexepremcuptries</vt:lpstr>
      <vt:lpstr>Haywood_WoodEXEpts</vt:lpstr>
      <vt:lpstr>Hearlenewpts</vt:lpstr>
      <vt:lpstr>Hearlenewtries</vt:lpstr>
      <vt:lpstr>hearlenrbpremcuppts</vt:lpstr>
      <vt:lpstr>hearlenrbpremcuptries</vt:lpstr>
      <vt:lpstr>Hearnlirpts</vt:lpstr>
      <vt:lpstr>Hearnlirtries</vt:lpstr>
      <vt:lpstr>heavenexepremcuppts</vt:lpstr>
      <vt:lpstr>heavenexepremcuptries</vt:lpstr>
      <vt:lpstr>Heavenexepts</vt:lpstr>
      <vt:lpstr>Heavenexetries</vt:lpstr>
      <vt:lpstr>Hendynorpts</vt:lpstr>
      <vt:lpstr>Hendynortries</vt:lpstr>
      <vt:lpstr>hennesseybthpremcuppts</vt:lpstr>
      <vt:lpstr>hennesseybthpremcuptries</vt:lpstr>
      <vt:lpstr>HennesseyBTHpts</vt:lpstr>
      <vt:lpstr>HennesseyBTHtries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Hobsonharpts</vt:lpstr>
      <vt:lpstr>Hobsonhartries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Holmesexepts</vt:lpstr>
      <vt:lpstr>holmesexetries</vt:lpstr>
      <vt:lpstr>Holmesleicpts</vt:lpstr>
      <vt:lpstr>Holmesleictries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Hutchisonnrbpremcuppts</vt:lpstr>
      <vt:lpstr>Hutchisonnrbpremcuptries</vt:lpstr>
      <vt:lpstr>Hutchisonnrbpts</vt:lpstr>
      <vt:lpstr>Hutchisonnrbtries</vt:lpstr>
      <vt:lpstr>hydeharpremcuppts</vt:lpstr>
      <vt:lpstr>hydeharpremcuptries</vt:lpstr>
      <vt:lpstr>Hydeharpts</vt:lpstr>
      <vt:lpstr>Hydehartries</vt:lpstr>
      <vt:lpstr>ibitoyebriatt</vt:lpstr>
      <vt:lpstr>Ibitoyebrigls</vt:lpstr>
      <vt:lpstr>Ibitoyeharpts</vt:lpstr>
      <vt:lpstr>Ibitoyehartries</vt:lpstr>
      <vt:lpstr>ilioneleipremcuppts</vt:lpstr>
      <vt:lpstr>ilioneleipremcuptries</vt:lpstr>
      <vt:lpstr>Ilioneleipts</vt:lpstr>
      <vt:lpstr>Ilioneleitries</vt:lpstr>
      <vt:lpstr>innardglopremcuptries</vt:lpstr>
      <vt:lpstr>innardglopremcuptriespts</vt:lpstr>
      <vt:lpstr>Iosefa_Scottexepts</vt:lpstr>
      <vt:lpstr>Iosefa_Scottexetries</vt:lpstr>
      <vt:lpstr>Irvinenorpts</vt:lpstr>
      <vt:lpstr>Irvinenortries</vt:lpstr>
      <vt:lpstr>Isgroharpts</vt:lpstr>
      <vt:lpstr>Isgrohartries</vt:lpstr>
      <vt:lpstr>Isiekwesarptscorrect</vt:lpstr>
      <vt:lpstr>Isiekwesartriescorrect</vt:lpstr>
      <vt:lpstr>Itojesarpts</vt:lpstr>
      <vt:lpstr>Itojesarptscorrect</vt:lpstr>
      <vt:lpstr>Itojesartries</vt:lpstr>
      <vt:lpstr>Itojesartriescorrect</vt:lpstr>
      <vt:lpstr>Ivanishvilibripts</vt:lpstr>
      <vt:lpstr>Ivanishvilibritries</vt:lpstr>
      <vt:lpstr>jacksonsarpremcuppts</vt:lpstr>
      <vt:lpstr>jacksonsarpremcuptries</vt:lpstr>
      <vt:lpstr>Jacksonsarpts</vt:lpstr>
      <vt:lpstr>Jacksonsartries</vt:lpstr>
      <vt:lpstr>James_Lsalpts</vt:lpstr>
      <vt:lpstr>James_Lsaltries</vt:lpstr>
      <vt:lpstr>Jamesexepts</vt:lpstr>
      <vt:lpstr>Jamesexetries</vt:lpstr>
      <vt:lpstr>jamesgloppts</vt:lpstr>
      <vt:lpstr>jamesglopremcu</vt:lpstr>
      <vt:lpstr>jamesglopremcuppts</vt:lpstr>
      <vt:lpstr>jamesglopremcuptries</vt:lpstr>
      <vt:lpstr>jamesglotries</vt:lpstr>
      <vt:lpstr>jamesnoratt</vt:lpstr>
      <vt:lpstr>Jamesnorgls</vt:lpstr>
      <vt:lpstr>Jamesnorpts</vt:lpstr>
      <vt:lpstr>Jamesnortries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jenkinsjbripremcuppts</vt:lpstr>
      <vt:lpstr>jenkinsjbripremcuptries</vt:lpstr>
      <vt:lpstr>jibulusalpremcuppts</vt:lpstr>
      <vt:lpstr>jibulusalpremcuptries</vt:lpstr>
      <vt:lpstr>Jibulusalpts</vt:lpstr>
      <vt:lpstr>Jibulusaltries</vt:lpstr>
      <vt:lpstr>johnexepremcuppts</vt:lpstr>
      <vt:lpstr>johnexepremcuptries</vt:lpstr>
      <vt:lpstr>Johnexepts</vt:lpstr>
      <vt:lpstr>Johnexetries</vt:lpstr>
      <vt:lpstr>Johnsonsarpremcupatt</vt:lpstr>
      <vt:lpstr>Johnsonsarpremcupgls</vt:lpstr>
      <vt:lpstr>johnsonsarpremcuppts</vt:lpstr>
      <vt:lpstr>johnsonsarpremcuptries</vt:lpstr>
      <vt:lpstr>Johnsonsarpts</vt:lpstr>
      <vt:lpstr>Johnsonsartries</vt:lpstr>
      <vt:lpstr>jordanbriatt</vt:lpstr>
      <vt:lpstr>Jordanbrigls</vt:lpstr>
      <vt:lpstr>JordanBRIPTS</vt:lpstr>
      <vt:lpstr>JordanBRITRIES</vt:lpstr>
      <vt:lpstr>Josephglopts</vt:lpstr>
      <vt:lpstr>Josephglotries</vt:lpstr>
      <vt:lpstr>Jureviciusharpts</vt:lpstr>
      <vt:lpstr>Jureviciushartries</vt:lpstr>
      <vt:lpstr>kellyleicatt</vt:lpstr>
      <vt:lpstr>Kellyleicgls</vt:lpstr>
      <vt:lpstr>Kellysalpts</vt:lpstr>
      <vt:lpstr>Kellysaltries</vt:lpstr>
      <vt:lpstr>Kemenynorpts</vt:lpstr>
      <vt:lpstr>Kemenynortries</vt:lpstr>
      <vt:lpstr>Kenninghamharpts</vt:lpstr>
      <vt:lpstr>Kenninghamhartries</vt:lpstr>
      <vt:lpstr>kerrharpremcupatt</vt:lpstr>
      <vt:lpstr>kerrharpremcupgls</vt:lpstr>
      <vt:lpstr>kerrharpremcuppts</vt:lpstr>
      <vt:lpstr>kerrharpremcuptries</vt:lpstr>
      <vt:lpstr>Keylocksarpremcuppts</vt:lpstr>
      <vt:lpstr>Keylocksarpremcuptries</vt:lpstr>
      <vt:lpstr>Keylocksarpts</vt:lpstr>
      <vt:lpstr>Keylocksartries</vt:lpstr>
      <vt:lpstr>Kirkbthpts</vt:lpstr>
      <vt:lpstr>Kirkbthtries</vt:lpstr>
      <vt:lpstr>Kitchenergrahamptscorrect</vt:lpstr>
      <vt:lpstr>Kitchenergrahamtriescorrect</vt:lpstr>
      <vt:lpstr>Knight_Cglopts</vt:lpstr>
      <vt:lpstr>Knight_Cglotries</vt:lpstr>
      <vt:lpstr>Knight_Wglopts</vt:lpstr>
      <vt:lpstr>Knight_Wglotries</vt:lpstr>
      <vt:lpstr>Knightciaranglopts</vt:lpstr>
      <vt:lpstr>Knightciaranglotries</vt:lpstr>
      <vt:lpstr>Knightgloptscorrect</vt:lpstr>
      <vt:lpstr>Knightglotriescorrect</vt:lpstr>
      <vt:lpstr>knightmglopremcuppts</vt:lpstr>
      <vt:lpstr>knightmglopremcuptries</vt:lpstr>
      <vt:lpstr>KnightSARpts</vt:lpstr>
      <vt:lpstr>KnightSARtries</vt:lpstr>
      <vt:lpstr>knightwglopts</vt:lpstr>
      <vt:lpstr>knightwglotries</vt:lpstr>
      <vt:lpstr>Kpoku__Jonathansarpts</vt:lpstr>
      <vt:lpstr>Kpoku__Jonathansartries</vt:lpstr>
      <vt:lpstr>Krielglopts</vt:lpstr>
      <vt:lpstr>Krielglotries</vt:lpstr>
      <vt:lpstr>Lamositeleharpts</vt:lpstr>
      <vt:lpstr>Lamositelehartries</vt:lpstr>
      <vt:lpstr>Lamositelesarpts</vt:lpstr>
      <vt:lpstr>Lamositelesartries</vt:lpstr>
      <vt:lpstr>lanebriatt</vt:lpstr>
      <vt:lpstr>lanebrigls</vt:lpstr>
      <vt:lpstr>Lanebripts</vt:lpstr>
      <vt:lpstr>Lanebritries</vt:lpstr>
      <vt:lpstr>LangdonNORpts</vt:lpstr>
      <vt:lpstr>LangdonNORtries</vt:lpstr>
      <vt:lpstr>Lawrencebthpts</vt:lpstr>
      <vt:lpstr>Lawrencebthtries</vt:lpstr>
      <vt:lpstr>Laybripts</vt:lpstr>
      <vt:lpstr>Laybritries</vt:lpstr>
      <vt:lpstr>le_Rouxbthpts</vt:lpstr>
      <vt:lpstr>le_Rouxbthtries</vt:lpstr>
      <vt:lpstr>LeicesterPts</vt:lpstr>
      <vt:lpstr>LeicesterTries</vt:lpstr>
      <vt:lpstr>leicspentriespts</vt:lpstr>
      <vt:lpstr>leicspentriestries</vt:lpstr>
      <vt:lpstr>Lennonbripts</vt:lpstr>
      <vt:lpstr>Lennonbritries</vt:lpstr>
      <vt:lpstr>Lewingtontries</vt:lpstr>
      <vt:lpstr>Lewisdaveharpts</vt:lpstr>
      <vt:lpstr>Lewisdavehartries</vt:lpstr>
      <vt:lpstr>Liebenbergleicpts</vt:lpstr>
      <vt:lpstr>Liebenbergleictries</vt:lpstr>
      <vt:lpstr>Lilleyexepts</vt:lpstr>
      <vt:lpstr>Lilleyexetries</vt:lpstr>
      <vt:lpstr>Lindsay_Haguenewpts</vt:lpstr>
      <vt:lpstr>Lindsay_Haguenewtries</vt:lpstr>
      <vt:lpstr>Linegarbthpremcupatt</vt:lpstr>
      <vt:lpstr>Linegarbthpremcupgls</vt:lpstr>
      <vt:lpstr>linegarbthpremcuppts</vt:lpstr>
      <vt:lpstr>linegarbthpremcuptries</vt:lpstr>
      <vt:lpstr>Litchfieldnorpts</vt:lpstr>
      <vt:lpstr>Litchfieldnortries</vt:lpstr>
      <vt:lpstr>llewellynglopremcuppts</vt:lpstr>
      <vt:lpstr>llewellynglopremcuptries</vt:lpstr>
      <vt:lpstr>LloydBriAtt</vt:lpstr>
      <vt:lpstr>LloydBriGls</vt:lpstr>
      <vt:lpstr>Lloydlirpts</vt:lpstr>
      <vt:lpstr>Lloydlirtries</vt:lpstr>
      <vt:lpstr>Loaderglopts</vt:lpstr>
      <vt:lpstr>Loaderglotries</vt:lpstr>
      <vt:lpstr>Lockettnorpts</vt:lpstr>
      <vt:lpstr>Lockettnortries</vt:lpstr>
      <vt:lpstr>lockwoodnrbpremcuppts</vt:lpstr>
      <vt:lpstr>lockwoodnrbpremcuptries</vt:lpstr>
      <vt:lpstr>Lowkierantries</vt:lpstr>
      <vt:lpstr>Lowlipts</vt:lpstr>
      <vt:lpstr>lozowksisarattcorrect</vt:lpstr>
      <vt:lpstr>lozowskisarglscorrect</vt:lpstr>
      <vt:lpstr>Lozowskisarptscorrect</vt:lpstr>
      <vt:lpstr>Lozowskisartriescorrect</vt:lpstr>
      <vt:lpstr>ludlowglopremcuppts</vt:lpstr>
      <vt:lpstr>ludlowglopremcuptries</vt:lpstr>
      <vt:lpstr>Ludlowglopts</vt:lpstr>
      <vt:lpstr>Ludlowglotries</vt:lpstr>
      <vt:lpstr>macgintybriatt</vt:lpstr>
      <vt:lpstr>MacGintybrigls</vt:lpstr>
      <vt:lpstr>MacGintybripremcupatt</vt:lpstr>
      <vt:lpstr>MacGintybripremcupgls</vt:lpstr>
      <vt:lpstr>macgintybripremcuppts</vt:lpstr>
      <vt:lpstr>macgintybripremcuptries</vt:lpstr>
      <vt:lpstr>MacGintybripts</vt:lpstr>
      <vt:lpstr>MacGintybritries</vt:lpstr>
      <vt:lpstr>Mafinrbpts</vt:lpstr>
      <vt:lpstr>Mafinrbtries</vt:lpstr>
      <vt:lpstr>malinssarpremcuppts</vt:lpstr>
      <vt:lpstr>malinssarpremcuptries</vt:lpstr>
      <vt:lpstr>Malinssarpts</vt:lpstr>
      <vt:lpstr>malinssarpts2ndspell</vt:lpstr>
      <vt:lpstr>Malinssartries</vt:lpstr>
      <vt:lpstr>Malinssartries2ndspell</vt:lpstr>
      <vt:lpstr>Maloneyexepts</vt:lpstr>
      <vt:lpstr>Maloneyexetries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MarmionBRIpts</vt:lpstr>
      <vt:lpstr>MarmionBRItries</vt:lpstr>
      <vt:lpstr>Marshalllirpts</vt:lpstr>
      <vt:lpstr>Marshalllirtries</vt:lpstr>
      <vt:lpstr>Martinleicpts</vt:lpstr>
      <vt:lpstr>Martinleictries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Mayleicpts</vt:lpstr>
      <vt:lpstr>Mayleictries</vt:lpstr>
      <vt:lpstr>McCallumnewpts</vt:lpstr>
      <vt:lpstr>McCallumnewtries</vt:lpstr>
      <vt:lpstr>mccallumnrbpremcuppts</vt:lpstr>
      <vt:lpstr>mccallumnrbpremcuptries</vt:lpstr>
      <vt:lpstr>McDonaldNEWpts</vt:lpstr>
      <vt:lpstr>McDonaldNEWtries</vt:lpstr>
      <vt:lpstr>mcelroyalpremcuppts</vt:lpstr>
      <vt:lpstr>mcelroyalpremcuptries</vt:lpstr>
      <vt:lpstr>McElroysalpts</vt:lpstr>
      <vt:lpstr>McElroysaltries</vt:lpstr>
      <vt:lpstr>McFarlandsarptscorrect</vt:lpstr>
      <vt:lpstr>McFarlandsartriescorrect</vt:lpstr>
      <vt:lpstr>mcguigannrbpremcuppts</vt:lpstr>
      <vt:lpstr>mcguigannrbpremcuptries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McParlandNORpts</vt:lpstr>
      <vt:lpstr>McParlandNORtries</vt:lpstr>
      <vt:lpstr>Meredithleipts</vt:lpstr>
      <vt:lpstr>Meredithleitries</vt:lpstr>
      <vt:lpstr>Merricknewpts</vt:lpstr>
      <vt:lpstr>Merricknewtries</vt:lpstr>
      <vt:lpstr>michelowsarpremcuppts</vt:lpstr>
      <vt:lpstr>michelowsarpremcuptries</vt:lpstr>
      <vt:lpstr>Mitchellnorpts</vt:lpstr>
      <vt:lpstr>Mitchellnortries</vt:lpstr>
      <vt:lpstr>mitchellnoryratt</vt:lpstr>
      <vt:lpstr>Mitchellnoryrgls</vt:lpstr>
      <vt:lpstr>Montoyaleicpts</vt:lpstr>
      <vt:lpstr>Montoyaleictries</vt:lpstr>
      <vt:lpstr>Moore_Aionosarpts</vt:lpstr>
      <vt:lpstr>Moore_Aionosartries</vt:lpstr>
      <vt:lpstr>Moorenrbpremcuppts</vt:lpstr>
      <vt:lpstr>Moorenrbpremcuptries</vt:lpstr>
      <vt:lpstr>Moorenrbpts</vt:lpstr>
      <vt:lpstr>Moorenrbtries</vt:lpstr>
      <vt:lpstr>Mooresarpts</vt:lpstr>
      <vt:lpstr>Mooresartries</vt:lpstr>
      <vt:lpstr>moroleipremcuppts</vt:lpstr>
      <vt:lpstr>moroleipremcuptries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Muirbthpts</vt:lpstr>
      <vt:lpstr>Muirbthtries</vt:lpstr>
      <vt:lpstr>Mulchronelipts</vt:lpstr>
      <vt:lpstr>MulchronelirtriesCORRECT</vt:lpstr>
      <vt:lpstr>Mulchronelitries</vt:lpstr>
      <vt:lpstr>MungaNORpts</vt:lpstr>
      <vt:lpstr>MungaNORtries</vt:lpstr>
      <vt:lpstr>Murleyharpts</vt:lpstr>
      <vt:lpstr>Murleyhartries</vt:lpstr>
      <vt:lpstr>murrayharpremcuppts</vt:lpstr>
      <vt:lpstr>murrayharpremcuptries</vt:lpstr>
      <vt:lpstr>Murrayharpts</vt:lpstr>
      <vt:lpstr>Murrayhartries</vt:lpstr>
      <vt:lpstr>Muskharpts</vt:lpstr>
      <vt:lpstr>Muskhartries</vt:lpstr>
      <vt:lpstr>Narrawaylipts</vt:lpstr>
      <vt:lpstr>Neildnewpts</vt:lpstr>
      <vt:lpstr>Neildnewtries</vt:lpstr>
      <vt:lpstr>Neildsalpts</vt:lpstr>
      <vt:lpstr>Neildsaltries</vt:lpstr>
      <vt:lpstr>Noreyexepts</vt:lpstr>
      <vt:lpstr>Noreyexetries</vt:lpstr>
      <vt:lpstr>NorthamptonPts</vt:lpstr>
      <vt:lpstr>NorthamptonTries</vt:lpstr>
      <vt:lpstr>Northmoreharpts</vt:lpstr>
      <vt:lpstr>Northmorehartries</vt:lpstr>
      <vt:lpstr>O_Connorleipts</vt:lpstr>
      <vt:lpstr>O_Connorleitries</vt:lpstr>
      <vt:lpstr>Obanobthpts</vt:lpstr>
      <vt:lpstr>Obanobthtries</vt:lpstr>
      <vt:lpstr>Obatoyinbonewpts</vt:lpstr>
      <vt:lpstr>Obatoyinbonewtries</vt:lpstr>
      <vt:lpstr>odonoghuebthatt</vt:lpstr>
      <vt:lpstr>odonoghuebthgls</vt:lpstr>
      <vt:lpstr>offiahbthpremcuppts</vt:lpstr>
      <vt:lpstr>offiahbthpremcuptries</vt:lpstr>
      <vt:lpstr>Offiahbthpts</vt:lpstr>
      <vt:lpstr>Offiahbthtries</vt:lpstr>
      <vt:lpstr>oflahertysalpremcuppts</vt:lpstr>
      <vt:lpstr>oflahertysalpremcuptries</vt:lpstr>
      <vt:lpstr>oghrebripremcuppts</vt:lpstr>
      <vt:lpstr>oghrebripremcuptries</vt:lpstr>
      <vt:lpstr>Oghrebripts</vt:lpstr>
      <vt:lpstr>Oghrebritries</vt:lpstr>
      <vt:lpstr>OjomohBTHPTS</vt:lpstr>
      <vt:lpstr>OjomohBTHTRIES</vt:lpstr>
      <vt:lpstr>OosthuizenSALpts</vt:lpstr>
      <vt:lpstr>OosthuizenSALtries</vt:lpstr>
      <vt:lpstr>Osborneharpts</vt:lpstr>
      <vt:lpstr>Osbornehartries</vt:lpstr>
      <vt:lpstr>Ostrikovandreitries</vt:lpstr>
      <vt:lpstr>OStrikovsalpts</vt:lpstr>
      <vt:lpstr>owenbripremcuppts</vt:lpstr>
      <vt:lpstr>owenbripremcuptries</vt:lpstr>
      <vt:lpstr>OwenBRIpts</vt:lpstr>
      <vt:lpstr>OwenBRItries</vt:lpstr>
      <vt:lpstr>Owennewptscorrect</vt:lpstr>
      <vt:lpstr>Owennewtriescorrect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Palframannewpts</vt:lpstr>
      <vt:lpstr>Palframannewtries</vt:lpstr>
      <vt:lpstr>Parlingleipts</vt:lpstr>
      <vt:lpstr>Parlingleitries</vt:lpstr>
      <vt:lpstr>Parsonsnewpts</vt:lpstr>
      <vt:lpstr>Parsonsnewtries</vt:lpstr>
      <vt:lpstr>Pasconorpts</vt:lpstr>
      <vt:lpstr>Pasconortries</vt:lpstr>
      <vt:lpstr>paternoratt</vt:lpstr>
      <vt:lpstr>paternorgls</vt:lpstr>
      <vt:lpstr>Paternorpremcupatt</vt:lpstr>
      <vt:lpstr>Paternorpremcupgls</vt:lpstr>
      <vt:lpstr>paternorpremcuppts</vt:lpstr>
      <vt:lpstr>paternorpremcuptries</vt:lpstr>
      <vt:lpstr>Paternorpts</vt:lpstr>
      <vt:lpstr>Paternortries</vt:lpstr>
      <vt:lpstr>Paulolirpts</vt:lpstr>
      <vt:lpstr>paulolirtries</vt:lpstr>
      <vt:lpstr>pearcebripremcuppts</vt:lpstr>
      <vt:lpstr>pearcebripremcuptries</vt:lpstr>
      <vt:lpstr>Pearcebripts</vt:lpstr>
      <vt:lpstr>Pearcebritries</vt:lpstr>
      <vt:lpstr>pearsonexepremcuppts</vt:lpstr>
      <vt:lpstr>pearsonexepremcuptries</vt:lpstr>
      <vt:lpstr>Pearsonexepts</vt:lpstr>
      <vt:lpstr>Pearsonexetries</vt:lpstr>
      <vt:lpstr>pearsonleipremcuppts</vt:lpstr>
      <vt:lpstr>pearsonleipremcuptries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Pepperbthpts</vt:lpstr>
      <vt:lpstr>Pepperbthtries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PostlethwaiteEXEpts</vt:lpstr>
      <vt:lpstr>PostlethwaiteEXEtries</vt:lpstr>
      <vt:lpstr>pts</vt:lpstr>
      <vt:lpstr>quinspentriespts</vt:lpstr>
      <vt:lpstr>quinspentriestries</vt:lpstr>
      <vt:lpstr>Quirkesalpts</vt:lpstr>
      <vt:lpstr>Quirkesaltries</vt:lpstr>
      <vt:lpstr>Radwanleipts</vt:lpstr>
      <vt:lpstr>Radwanleitries</vt:lpstr>
      <vt:lpstr>rammnorpremcuppts</vt:lpstr>
      <vt:lpstr>rammnorpremcuptries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Ravouvoubripts</vt:lpstr>
      <vt:lpstr>Ravouvoufijtries</vt:lpstr>
      <vt:lpstr>Readsalpts</vt:lpstr>
      <vt:lpstr>Readsaltries</vt:lpstr>
      <vt:lpstr>redpathbthatt</vt:lpstr>
      <vt:lpstr>Redpathbthpts</vt:lpstr>
      <vt:lpstr>Redpathbthtries</vt:lpstr>
      <vt:lpstr>Rees_Zammitbripts</vt:lpstr>
      <vt:lpstr>Rees_Zammitbritries</vt:lpstr>
      <vt:lpstr>reeszammitbripremcuppts</vt:lpstr>
      <vt:lpstr>reeszammitbripremcuptries</vt:lpstr>
      <vt:lpstr>Reevesglopts</vt:lpstr>
      <vt:lpstr>Reevesglotries</vt:lpstr>
      <vt:lpstr>Reltonexepts</vt:lpstr>
      <vt:lpstr>Reltonexetries</vt:lpstr>
      <vt:lpstr>repathbthgls</vt:lpstr>
      <vt:lpstr>Riccionisarptscorrect</vt:lpstr>
      <vt:lpstr>Riccionisartriescorrect</vt:lpstr>
      <vt:lpstr>Richardsbthpts</vt:lpstr>
      <vt:lpstr>Richardsbthtries</vt:lpstr>
      <vt:lpstr>ridlexepremcuppts</vt:lpstr>
      <vt:lpstr>ridlexepremcuptries</vt:lpstr>
      <vt:lpstr>Ridlexepts</vt:lpstr>
      <vt:lpstr>Ridlexetries</vt:lpstr>
      <vt:lpstr>riggexepremcuppts</vt:lpstr>
      <vt:lpstr>riggexepremcuptries</vt:lpstr>
      <vt:lpstr>rileyharpremcuppts</vt:lpstr>
      <vt:lpstr>rileyharpremcuptries</vt:lpstr>
      <vt:lpstr>Rileysalpts</vt:lpstr>
      <vt:lpstr>Rileysaltries</vt:lpstr>
      <vt:lpstr>Robertsbthpts</vt:lpstr>
      <vt:lpstr>Robertsbthtries</vt:lpstr>
      <vt:lpstr>Robertssalpremcuppts</vt:lpstr>
      <vt:lpstr>Robertssalpremcuptries</vt:lpstr>
      <vt:lpstr>Robertssalpts</vt:lpstr>
      <vt:lpstr>Robertssaltries</vt:lpstr>
      <vt:lpstr>Roddsalpts</vt:lpstr>
      <vt:lpstr>Roddsaltries</vt:lpstr>
      <vt:lpstr>Roebucksalpts</vt:lpstr>
      <vt:lpstr>Roebucksaltries</vt:lpstr>
      <vt:lpstr>RogersonLEIpts</vt:lpstr>
      <vt:lpstr>RogersonLEItries</vt:lpstr>
      <vt:lpstr>rootseexepremcuppts</vt:lpstr>
      <vt:lpstr>rootseexepremcuptries</vt:lpstr>
      <vt:lpstr>Rouxbthprempts</vt:lpstr>
      <vt:lpstr>Rouxbthpremtries</vt:lpstr>
      <vt:lpstr>rouxbthtries</vt:lpstr>
      <vt:lpstr>rowernorpremcuppts</vt:lpstr>
      <vt:lpstr>rowernorpremcuptries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Schickerlingexepts</vt:lpstr>
      <vt:lpstr>Schickerlingexetries</vt:lpstr>
      <vt:lpstr>Schmidharpts</vt:lpstr>
      <vt:lpstr>Schmidhartries</vt:lpstr>
      <vt:lpstr>scolanorpremcuppts</vt:lpstr>
      <vt:lpstr>scolanorpremcuptries</vt:lpstr>
      <vt:lpstr>Scolanorpts</vt:lpstr>
      <vt:lpstr>Scolanortries</vt:lpstr>
      <vt:lpstr>Scotland_W_sonharpts</vt:lpstr>
      <vt:lpstr>Scotland_W_sonhartries</vt:lpstr>
      <vt:lpstr>Scott_Youngnorpts</vt:lpstr>
      <vt:lpstr>Scott_Youngnortries</vt:lpstr>
      <vt:lpstr>Scullypts</vt:lpstr>
      <vt:lpstr>searlebthatt</vt:lpstr>
      <vt:lpstr>Searlebthgls</vt:lpstr>
      <vt:lpstr>searleleiatt</vt:lpstr>
      <vt:lpstr>Searleleigls</vt:lpstr>
      <vt:lpstr>Searleleipremcupatt</vt:lpstr>
      <vt:lpstr>Searleleipremcupgls</vt:lpstr>
      <vt:lpstr>searleleipremcuppts</vt:lpstr>
      <vt:lpstr>searleleipremcuptries</vt:lpstr>
      <vt:lpstr>segunsarpremcuppts</vt:lpstr>
      <vt:lpstr>segunsarpremcuptries</vt:lpstr>
      <vt:lpstr>Segunsarptscorrect</vt:lpstr>
      <vt:lpstr>Segunsartriescorrect</vt:lpstr>
      <vt:lpstr>selabthpremcuppts</vt:lpstr>
      <vt:lpstr>selabthpremcuptries</vt:lpstr>
      <vt:lpstr>Selabthpts</vt:lpstr>
      <vt:lpstr>Selabthtries</vt:lpstr>
      <vt:lpstr>shillcockleicatt</vt:lpstr>
      <vt:lpstr>Shillcockleicgls</vt:lpstr>
      <vt:lpstr>Simmonsleicpts</vt:lpstr>
      <vt:lpstr>Simmonsleictries</vt:lpstr>
      <vt:lpstr>Simpson_Gsarpts</vt:lpstr>
      <vt:lpstr>Simpson_Gsartries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Skinnerexepremcupatt</vt:lpstr>
      <vt:lpstr>Skinnerexepremcupgls</vt:lpstr>
      <vt:lpstr>sladeatt</vt:lpstr>
      <vt:lpstr>Sladeexepremcupatt</vt:lpstr>
      <vt:lpstr>Sladeexepremcupgls</vt:lpstr>
      <vt:lpstr>sladeexepremcuppts</vt:lpstr>
      <vt:lpstr>sladeexepremcuptries</vt:lpstr>
      <vt:lpstr>Sladeexepts</vt:lpstr>
      <vt:lpstr>Sladeexetries</vt:lpstr>
      <vt:lpstr>sladegoals</vt:lpstr>
      <vt:lpstr>sleightholmenorpremcuppts</vt:lpstr>
      <vt:lpstr>sleightholmenorpremcuptries</vt:lpstr>
      <vt:lpstr>Sleightholmenorpts</vt:lpstr>
      <vt:lpstr>Sleightholmenortries</vt:lpstr>
      <vt:lpstr>sleveinharpremcupatt</vt:lpstr>
      <vt:lpstr>SlevinHARatt</vt:lpstr>
      <vt:lpstr>SlevinHARgls</vt:lpstr>
      <vt:lpstr>SlevinHARglsPERCENT</vt:lpstr>
      <vt:lpstr>Slevinharpremcupgls</vt:lpstr>
      <vt:lpstr>slevinharpremcuppts</vt:lpstr>
      <vt:lpstr>slevinharpremcuptries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Spandlerbthpts</vt:lpstr>
      <vt:lpstr>Spandlertbhtries</vt:lpstr>
      <vt:lpstr>spcncerbthgls</vt:lpstr>
      <vt:lpstr>Spencer_Bbthpts</vt:lpstr>
      <vt:lpstr>Spencer_Bbthtries</vt:lpstr>
      <vt:lpstr>spencerbthatt</vt:lpstr>
      <vt:lpstr>spencernrbpremcuppts</vt:lpstr>
      <vt:lpstr>spencernrbpremcuptries</vt:lpstr>
      <vt:lpstr>spinksarpremcuppts</vt:lpstr>
      <vt:lpstr>spinksarpremcuptries</vt:lpstr>
      <vt:lpstr>staddonbthpremcuppts</vt:lpstr>
      <vt:lpstr>staddonbthpremcuptries</vt:lpstr>
      <vt:lpstr>Stanleyglopts</vt:lpstr>
      <vt:lpstr>Stanleyglotries</vt:lpstr>
      <vt:lpstr>Staplesharpremcuppts</vt:lpstr>
      <vt:lpstr>Staplesharpremcuptries</vt:lpstr>
      <vt:lpstr>Staplesharpts</vt:lpstr>
      <vt:lpstr>Stapleshartries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Strangbripts</vt:lpstr>
      <vt:lpstr>Strangbritries</vt:lpstr>
      <vt:lpstr>Stuartbthpts</vt:lpstr>
      <vt:lpstr>Stuartbthtries</vt:lpstr>
      <vt:lpstr>Swinsonsarptscorrect</vt:lpstr>
      <vt:lpstr>Swinsonsartriescorrect</vt:lpstr>
      <vt:lpstr>Sylvestersarpts</vt:lpstr>
      <vt:lpstr>Sylvestersartries</vt:lpstr>
      <vt:lpstr>Terryglopts</vt:lpstr>
      <vt:lpstr>Terryglotries</vt:lpstr>
      <vt:lpstr>ThameNORpts</vt:lpstr>
      <vt:lpstr>ThameNORtries</vt:lpstr>
      <vt:lpstr>Theobald_Thomasleipts</vt:lpstr>
      <vt:lpstr>Theobold_Thomasleitries</vt:lpstr>
      <vt:lpstr>thomasalpremcuppts</vt:lpstr>
      <vt:lpstr>thomasalpremcuptries</vt:lpstr>
      <vt:lpstr>Thomasglopts</vt:lpstr>
      <vt:lpstr>Thomasglotries</vt:lpstr>
      <vt:lpstr>ThomasSALpts</vt:lpstr>
      <vt:lpstr>ThomasSALtries</vt:lpstr>
      <vt:lpstr>Thompsonleipts</vt:lpstr>
      <vt:lpstr>Thompsonleitries</vt:lpstr>
      <vt:lpstr>thompstonetries</vt:lpstr>
      <vt:lpstr>Thorleygloptscorrect</vt:lpstr>
      <vt:lpstr>Thorleyglotriescorrect</vt:lpstr>
      <vt:lpstr>threlfallleiatt</vt:lpstr>
      <vt:lpstr>threlfallleigls</vt:lpstr>
      <vt:lpstr>Threlfallleipts</vt:lpstr>
      <vt:lpstr>Threlfallleitries</vt:lpstr>
      <vt:lpstr>Tiffennewpts</vt:lpstr>
      <vt:lpstr>Tiffennewtries</vt:lpstr>
      <vt:lpstr>titcombeleipremcupatt</vt:lpstr>
      <vt:lpstr>titcombeleipremcupgls</vt:lpstr>
      <vt:lpstr>titcombeleipremcuppts</vt:lpstr>
      <vt:lpstr>titcombeleipremcuptries</vt:lpstr>
      <vt:lpstr>Tizardsarpts</vt:lpstr>
      <vt:lpstr>Tizardsartries</vt:lpstr>
      <vt:lpstr>Todaronorpts</vt:lpstr>
      <vt:lpstr>Todaronortries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trenholmglopremcuppts</vt:lpstr>
      <vt:lpstr>trenholmglopremcuptries</vt:lpstr>
      <vt:lpstr>Trevettbripts</vt:lpstr>
      <vt:lpstr>Trevettbritries</vt:lpstr>
      <vt:lpstr>Trinderglopts</vt:lpstr>
      <vt:lpstr>Trindertriestries</vt:lpstr>
      <vt:lpstr>Tshiunzaexepts</vt:lpstr>
      <vt:lpstr>Tshiunzaexetries</vt:lpstr>
      <vt:lpstr>Tuaexepts</vt:lpstr>
      <vt:lpstr>Tuaexetries</vt:lpstr>
      <vt:lpstr>tuimaexepremcuppts</vt:lpstr>
      <vt:lpstr>tuimaexepremcuptries</vt:lpstr>
      <vt:lpstr>Tuimaexepts</vt:lpstr>
      <vt:lpstr>Tuimaexetries</vt:lpstr>
      <vt:lpstr>tuipulotubthpremcuppts</vt:lpstr>
      <vt:lpstr>tuipulotubthpremcuptries</vt:lpstr>
      <vt:lpstr>Tuipulotubthpts</vt:lpstr>
      <vt:lpstr>Tuipulotubthtries</vt:lpstr>
      <vt:lpstr>Tuipulotusarpts</vt:lpstr>
      <vt:lpstr>Tuipulotusartries</vt:lpstr>
      <vt:lpstr>Tuitupousampts</vt:lpstr>
      <vt:lpstr>Tuitupousamtries</vt:lpstr>
      <vt:lpstr>TurnerHARPTS</vt:lpstr>
      <vt:lpstr>TurnerHARTRIES</vt:lpstr>
      <vt:lpstr>Underhillbthpts</vt:lpstr>
      <vt:lpstr>Underhillbthtries</vt:lpstr>
      <vt:lpstr>van_der_Flierleipts</vt:lpstr>
      <vt:lpstr>van_der_Flierleitries</vt:lpstr>
      <vt:lpstr>van_der_Meschtnorpts</vt:lpstr>
      <vt:lpstr>van_der_Meschtnortries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van_Zylsarptscorrect</vt:lpstr>
      <vt:lpstr>van_Zylsartriescorrect</vt:lpstr>
      <vt:lpstr>vandermeschtnorpremcuppts</vt:lpstr>
      <vt:lpstr>vandermeschtnorpremcuptries</vt:lpstr>
      <vt:lpstr>Vanesleicpts</vt:lpstr>
      <vt:lpstr>Vanesleictries</vt:lpstr>
      <vt:lpstr>vanzylsarpremcuppts</vt:lpstr>
      <vt:lpstr>vanzylsarpremcuptries</vt:lpstr>
      <vt:lpstr>varneyexepremcuppts</vt:lpstr>
      <vt:lpstr>varneyexepremcuptries</vt:lpstr>
      <vt:lpstr>Vermeulensalpts</vt:lpstr>
      <vt:lpstr>Vermeulensaltries</vt:lpstr>
      <vt:lpstr>Vunipola_Msaratt</vt:lpstr>
      <vt:lpstr>Vunipola_Msargls</vt:lpstr>
      <vt:lpstr>Wacokecokenewpts</vt:lpstr>
      <vt:lpstr>Wacokecokenewtries</vt:lpstr>
      <vt:lpstr>Waghornharpts</vt:lpstr>
      <vt:lpstr>Waghornhartries</vt:lpstr>
      <vt:lpstr>walkerharpremcuppts</vt:lpstr>
      <vt:lpstr>walkerharpremcuptries</vt:lpstr>
      <vt:lpstr>Walkerharpts</vt:lpstr>
      <vt:lpstr>Walkerhartries</vt:lpstr>
      <vt:lpstr>Walkernorpts</vt:lpstr>
      <vt:lpstr>Walkernortries</vt:lpstr>
      <vt:lpstr>Walshleipts</vt:lpstr>
      <vt:lpstr>Walshleitries</vt:lpstr>
      <vt:lpstr>wandleipremcuppts</vt:lpstr>
      <vt:lpstr>wandleipremcuptries</vt:lpstr>
      <vt:lpstr>Wardglopts</vt:lpstr>
      <vt:lpstr>Wardglotries</vt:lpstr>
      <vt:lpstr>WarrSALatt</vt:lpstr>
      <vt:lpstr>WarrSALgls</vt:lpstr>
      <vt:lpstr>Warrsalpts</vt:lpstr>
      <vt:lpstr>Warrsaltries</vt:lpstr>
      <vt:lpstr>Watersharpts</vt:lpstr>
      <vt:lpstr>Watershartries</vt:lpstr>
      <vt:lpstr>Webbersalpts</vt:lpstr>
      <vt:lpstr>Webbersaltries</vt:lpstr>
      <vt:lpstr>Weimannnorpts</vt:lpstr>
      <vt:lpstr>Weimannnortries</vt:lpstr>
      <vt:lpstr>Wellsleicpts</vt:lpstr>
      <vt:lpstr>Wellsleictries</vt:lpstr>
      <vt:lpstr>westonbriatt</vt:lpstr>
      <vt:lpstr>westonbrigls</vt:lpstr>
      <vt:lpstr>Westonbripremcupatt</vt:lpstr>
      <vt:lpstr>Westonbripremcupgls</vt:lpstr>
      <vt:lpstr>westonbripremcuppts</vt:lpstr>
      <vt:lpstr>westonbripremcuptries</vt:lpstr>
      <vt:lpstr>whiteleyleiatt</vt:lpstr>
      <vt:lpstr>whiteleyleigls</vt:lpstr>
      <vt:lpstr>whiteleyleipremcuppts</vt:lpstr>
      <vt:lpstr>whiteleyleipremcuptries</vt:lpstr>
      <vt:lpstr>WhiteleyLEIpts</vt:lpstr>
      <vt:lpstr>WhiteleyLEItries</vt:lpstr>
      <vt:lpstr>Whittenpts</vt:lpstr>
      <vt:lpstr>Whittentries</vt:lpstr>
      <vt:lpstr>Wieseleicpts</vt:lpstr>
      <vt:lpstr>Wieseleictries</vt:lpstr>
      <vt:lpstr>Wilkinsnorpts</vt:lpstr>
      <vt:lpstr>Wilkinsnortries</vt:lpstr>
      <vt:lpstr>williamsbriatt</vt:lpstr>
      <vt:lpstr>williamsbrigls</vt:lpstr>
      <vt:lpstr>Williamsbripts</vt:lpstr>
      <vt:lpstr>Williamsbritries</vt:lpstr>
      <vt:lpstr>Williamsexepts</vt:lpstr>
      <vt:lpstr>Williamsexetries</vt:lpstr>
      <vt:lpstr>williamsgloatt</vt:lpstr>
      <vt:lpstr>Williamsglogls</vt:lpstr>
      <vt:lpstr>Williamssalpts</vt:lpstr>
      <vt:lpstr>Williamssaltries</vt:lpstr>
      <vt:lpstr>Williamstomasglotries</vt:lpstr>
      <vt:lpstr>Williamstomosglopts</vt:lpstr>
      <vt:lpstr>Wilson_Osarpts</vt:lpstr>
      <vt:lpstr>Wilson_Osartries</vt:lpstr>
      <vt:lpstr>wilsonsalpremcuppts</vt:lpstr>
      <vt:lpstr>wilsonsalpremcuptries</vt:lpstr>
      <vt:lpstr>Wilsonsalpts</vt:lpstr>
      <vt:lpstr>Wilsonsaltries</vt:lpstr>
      <vt:lpstr>Wilsonsarpts</vt:lpstr>
      <vt:lpstr>Wilsonsartries</vt:lpstr>
      <vt:lpstr>Wolstenholmebripts</vt:lpstr>
      <vt:lpstr>Wolstenholmebritries</vt:lpstr>
      <vt:lpstr>Woodburnexepts</vt:lpstr>
      <vt:lpstr>Woodburnexetries</vt:lpstr>
      <vt:lpstr>Woodwardleipremcupatt</vt:lpstr>
      <vt:lpstr>Woodwardleipremcupgls</vt:lpstr>
      <vt:lpstr>woodwardleipremcuppts</vt:lpstr>
      <vt:lpstr>woodwardleipremcuptries</vt:lpstr>
      <vt:lpstr>WoodwardLEIpts</vt:lpstr>
      <vt:lpstr>WoodwardLEItries</vt:lpstr>
      <vt:lpstr>WoolstencroftEurTries</vt:lpstr>
      <vt:lpstr>Woolstencroftsarptscorrect</vt:lpstr>
      <vt:lpstr>Woolstencroftsartriescorrect</vt:lpstr>
      <vt:lpstr>worsleybriatt</vt:lpstr>
      <vt:lpstr>worsleybrigls</vt:lpstr>
      <vt:lpstr>Worsleybripremcupatt</vt:lpstr>
      <vt:lpstr>Worsleybripremcupgls</vt:lpstr>
      <vt:lpstr>Worsleybripremcuppts</vt:lpstr>
      <vt:lpstr>Worsleybripremcuptries</vt:lpstr>
      <vt:lpstr>Worsleybripts</vt:lpstr>
      <vt:lpstr>Worsleybritries</vt:lpstr>
      <vt:lpstr>wrightnorpremcuppts</vt:lpstr>
      <vt:lpstr>wrightnorpremcuptries</vt:lpstr>
      <vt:lpstr>Wyattexepts</vt:lpstr>
      <vt:lpstr>Wyattexetries</vt:lpstr>
      <vt:lpstr>Yeandlejackpts</vt:lpstr>
      <vt:lpstr>Yeandlejacktries</vt:lpstr>
      <vt:lpstr>youngsbatt</vt:lpstr>
      <vt:lpstr>youngsbgoals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2025-11-03T09:39:13Z</cp:lastPrinted>
  <dcterms:created xsi:type="dcterms:W3CDTF">2012-08-28T10:26:03Z</dcterms:created>
  <dcterms:modified xsi:type="dcterms:W3CDTF">2026-01-20T17:15:49Z</dcterms:modified>
</cp:coreProperties>
</file>