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7d62a7607d3ee9b/INTERNATIIONAL MEN'S RUGBY/2022/"/>
    </mc:Choice>
  </mc:AlternateContent>
  <xr:revisionPtr revIDLastSave="11230" documentId="8_{70E0D1B7-5CC0-47D7-BA92-27C7987CB9EE}" xr6:coauthVersionLast="47" xr6:coauthVersionMax="47" xr10:uidLastSave="{5F2CA694-A6B0-4479-B2F4-B06931C63C01}"/>
  <bookViews>
    <workbookView xWindow="-26192" yWindow="747" windowWidth="26301" windowHeight="14169" tabRatio="969" activeTab="25" xr2:uid="{00000000-000D-0000-FFFF-FFFF00000000}"/>
  </bookViews>
  <sheets>
    <sheet name="Sum" sheetId="41" r:id="rId1"/>
    <sheet name="Res" sheetId="34" r:id="rId2"/>
    <sheet name="6N Tab" sheetId="31" r:id="rId3"/>
    <sheet name="6N Res" sheetId="33" r:id="rId4"/>
    <sheet name="6N Cds" sheetId="32" r:id="rId5"/>
    <sheet name="RC Cds" sheetId="42" r:id="rId6"/>
    <sheet name="ANS Cds" sheetId="43" r:id="rId7"/>
    <sheet name="ARG" sheetId="9" r:id="rId8"/>
    <sheet name="AUS" sheetId="10" r:id="rId9"/>
    <sheet name="CAN" sheetId="14" r:id="rId10"/>
    <sheet name="ENG" sheetId="11" r:id="rId11"/>
    <sheet name="FIJ" sheetId="12" r:id="rId12"/>
    <sheet name="FRA" sheetId="13" r:id="rId13"/>
    <sheet name="GEO" sheetId="20" r:id="rId14"/>
    <sheet name="IRE" sheetId="16" r:id="rId15"/>
    <sheet name="ITA" sheetId="17" r:id="rId16"/>
    <sheet name="JPN" sheetId="18" r:id="rId17"/>
    <sheet name="NAM" sheetId="35" r:id="rId18"/>
    <sheet name="NZL" sheetId="15" r:id="rId19"/>
    <sheet name="ROM" sheetId="23" r:id="rId20"/>
    <sheet name="RUS" sheetId="36" r:id="rId21"/>
    <sheet name="SAM" sheetId="24" r:id="rId22"/>
    <sheet name="SCO" sheetId="25" r:id="rId23"/>
    <sheet name="RSA" sheetId="26" r:id="rId24"/>
    <sheet name="TGA" sheetId="27" r:id="rId25"/>
    <sheet name="USA" sheetId="28" r:id="rId26"/>
    <sheet name="URU" sheetId="29" r:id="rId27"/>
    <sheet name="WAL" sheetId="30" r:id="rId28"/>
  </sheets>
  <externalReferences>
    <externalReference r:id="rId29"/>
    <externalReference r:id="rId30"/>
    <externalReference r:id="rId31"/>
  </externalReferences>
  <definedNames>
    <definedName name="alltestshistlost">Sum!$D$13</definedName>
    <definedName name="alltestshistwon">Sum!$C$13</definedName>
    <definedName name="arg2019dg">ARG!$L$17</definedName>
    <definedName name="arg2019drawn">ARG!$AA$17</definedName>
    <definedName name="arg2019lost">ARG!$AB$17</definedName>
    <definedName name="arg2019played">ARG!$Y$17</definedName>
    <definedName name="arg2019ptsconc">ARG!$G$17</definedName>
    <definedName name="arg2019ptsscored">ARG!$F$17</definedName>
    <definedName name="arg2019rwcdrawn">ARG!#REF!</definedName>
    <definedName name="arg2019rwclost">ARG!#REF!</definedName>
    <definedName name="arg2019rwcplayed">ARG!#REF!</definedName>
    <definedName name="arg2019rwcptsconc">ARG!#REF!</definedName>
    <definedName name="arg2019rwcptsscored">ARG!#REF!</definedName>
    <definedName name="arg2019rwcrc">ARG!#REF!</definedName>
    <definedName name="arg2019rwctriesconc">ARG!#REF!</definedName>
    <definedName name="arg2019rwctriesscored">ARG!#REF!</definedName>
    <definedName name="arg2019rwcwon">ARG!#REF!</definedName>
    <definedName name="arg2019rwcyc">ARG!#REF!</definedName>
    <definedName name="arg2019triesconc">ARG!$R$17</definedName>
    <definedName name="arg2019triesscored">ARG!$J$17</definedName>
    <definedName name="arg2019won">ARG!$Z$17</definedName>
    <definedName name="Argentinaalltestsdrawn">Sum!$E$3</definedName>
    <definedName name="Argentinaalltestslost">Sum!$D$3</definedName>
    <definedName name="Argentinaalltestsplayed">Sum!$B$3</definedName>
    <definedName name="Argentinaalltestsptsagainst">Sum!$H$3</definedName>
    <definedName name="Argentinaalltestsptsscored">Sum!$G$3</definedName>
    <definedName name="Argentinaallteststriesscored">Sum!$I$3</definedName>
    <definedName name="Argentinaalltestswon">Sum!$C$3</definedName>
    <definedName name="ArgentinaWChistdrawn">Sum!$E$28</definedName>
    <definedName name="ArgentinaWChistlost">Sum!$D$28</definedName>
    <definedName name="ArgentinaWChistplayed">Sum!$B$28</definedName>
    <definedName name="ArgentinaWChistptsagainst">Sum!$H$28</definedName>
    <definedName name="ArgentinaWChistptsscored">Sum!$G$28</definedName>
    <definedName name="ArgentinaWChisttriesscored">Sum!$I$28</definedName>
    <definedName name="ArgentinaWChistwon">Sum!$C$28</definedName>
    <definedName name="argoveralllb">ARG!#REF!</definedName>
    <definedName name="argoverallptsag">ARG!#REF!</definedName>
    <definedName name="argoverallptsfor">ARG!#REF!</definedName>
    <definedName name="argoverallreds">ARG!#REF!</definedName>
    <definedName name="argoveralltb">ARG!#REF!</definedName>
    <definedName name="argoveralltbcon">ARG!#REF!</definedName>
    <definedName name="argoveralltries">ARG!#REF!</definedName>
    <definedName name="argoveralltriescon">ARG!#REF!</definedName>
    <definedName name="argoverallyellows">ARG!#REF!</definedName>
    <definedName name="ArgPool2019drawn">ARG!#REF!</definedName>
    <definedName name="ArgPool2019lost">ARG!#REF!</definedName>
    <definedName name="ArgPool2019won">ARG!#REF!</definedName>
    <definedName name="ArgPoolagainst">ARG!#REF!</definedName>
    <definedName name="Argpooldrawn">ARG!#REF!</definedName>
    <definedName name="ArgPoolfor">ARG!#REF!</definedName>
    <definedName name="Argpoollb">ARG!#REF!</definedName>
    <definedName name="ArgPoollbfor">ARG!#REF!</definedName>
    <definedName name="argpoollbscored">ARG!#REF!</definedName>
    <definedName name="Argpoollost">ARG!#REF!</definedName>
    <definedName name="ArgPoolplayed">ARG!#REF!</definedName>
    <definedName name="Argpoolpld">ARG!#REF!</definedName>
    <definedName name="Argpoolptsag">ARG!#REF!</definedName>
    <definedName name="Argpoolreds">ARG!#REF!</definedName>
    <definedName name="Argpooltb">ARG!#REF!</definedName>
    <definedName name="ArgPooltbagainst">ARG!#REF!</definedName>
    <definedName name="Argpooltbcon">ARG!#REF!</definedName>
    <definedName name="ArgPooltbfor">ARG!#REF!</definedName>
    <definedName name="argpooltbscored">ARG!#REF!</definedName>
    <definedName name="ArgPooltriesagainst">ARG!#REF!</definedName>
    <definedName name="Argpooltriescon">ARG!#REF!</definedName>
    <definedName name="argpooltriesconcorrect">ARG!#REF!</definedName>
    <definedName name="Argpooltriesfor">ARG!#REF!</definedName>
    <definedName name="ArgPooltriesscored">ARG!#REF!</definedName>
    <definedName name="argpooltriesscoredcorrect">ARG!#REF!</definedName>
    <definedName name="Argpoolwon">ARG!#REF!</definedName>
    <definedName name="Argpoolyellows">ARG!#REF!</definedName>
    <definedName name="Argptsfor">ARG!#REF!</definedName>
    <definedName name="Aus2019pooldrawn">AUS!#REF!</definedName>
    <definedName name="Aus2019poollbcon">AUS!#REF!</definedName>
    <definedName name="Aus2019poollbscored">AUS!#REF!</definedName>
    <definedName name="Aus2019poollost">AUS!#REF!</definedName>
    <definedName name="Aus2019poolplayed">AUS!#REF!</definedName>
    <definedName name="Aus2019poolptsagainst">AUS!#REF!</definedName>
    <definedName name="Aus2019poolptsscored">AUS!#REF!</definedName>
    <definedName name="Aus2019pooltbcon">AUS!#REF!</definedName>
    <definedName name="Aus2019pooltbscored">AUS!#REF!</definedName>
    <definedName name="Aus2019pooltriesconc">AUS!#REF!</definedName>
    <definedName name="Aus2019pooltriesscored">AUS!#REF!</definedName>
    <definedName name="Aus2019poolwon">AUS!#REF!</definedName>
    <definedName name="Aus2019rwcdrawn">AUS!#REF!</definedName>
    <definedName name="Aus2019rwclost">AUS!#REF!</definedName>
    <definedName name="Aus2019rwclostcorrect">AUS!#REF!</definedName>
    <definedName name="Aus2019rwcplayed">AUS!#REF!</definedName>
    <definedName name="Aus2019rwcptsagainst">AUS!#REF!</definedName>
    <definedName name="Aus2019rwcptsscored">AUS!#REF!</definedName>
    <definedName name="Aus2019rwcrc">AUS!#REF!</definedName>
    <definedName name="Aus2019rwctriesconc">AUS!#REF!</definedName>
    <definedName name="Aus2019rwctriesscored">AUS!#REF!</definedName>
    <definedName name="Aus2019rwcwon">AUS!#REF!</definedName>
    <definedName name="Aus2019rwcyc">AUS!#REF!</definedName>
    <definedName name="ausbp">AUS!#REF!</definedName>
    <definedName name="ausd">AUS!#REF!</definedName>
    <definedName name="ausl">AUS!#REF!</definedName>
    <definedName name="auslb">AUS!#REF!</definedName>
    <definedName name="auslbcon">AUS!#REF!</definedName>
    <definedName name="ausoveralldrawn">AUS!#REF!</definedName>
    <definedName name="ausoveralllost">AUS!#REF!</definedName>
    <definedName name="ausoverallpld">AUS!#REF!</definedName>
    <definedName name="ausoverallptsaga">AUS!#REF!</definedName>
    <definedName name="ausoverallptsfor">AUS!#REF!</definedName>
    <definedName name="ausoveralltriescon">AUS!#REF!</definedName>
    <definedName name="ausoveralltriesscored">AUS!#REF!</definedName>
    <definedName name="ausoverallwon">AUS!#REF!</definedName>
    <definedName name="auspl">AUS!#REF!</definedName>
    <definedName name="auspooldrawn">AUS!#REF!</definedName>
    <definedName name="auspoollb">AUS!#REF!</definedName>
    <definedName name="auspoollost">AUS!#REF!</definedName>
    <definedName name="auspoolpld">AUS!#REF!</definedName>
    <definedName name="auspoolptsag">AUS!#REF!</definedName>
    <definedName name="auspoolptsfor">AUS!#REF!</definedName>
    <definedName name="auspooltb">AUS!#REF!</definedName>
    <definedName name="auspooltriescon">AUS!#REF!</definedName>
    <definedName name="auspooltriesscored">AUS!#REF!</definedName>
    <definedName name="auspoolwon">AUS!#REF!</definedName>
    <definedName name="ausptsa">AUS!#REF!</definedName>
    <definedName name="ausptsf">AUS!#REF!</definedName>
    <definedName name="ausred">AUS!#REF!</definedName>
    <definedName name="austb">AUS!#REF!</definedName>
    <definedName name="austbcon">AUS!#REF!</definedName>
    <definedName name="austra">AUS!#REF!</definedName>
    <definedName name="australiaalltests2019drawn">AUS!$AA$19</definedName>
    <definedName name="australiaalltests2019lost">AUS!$AB$19</definedName>
    <definedName name="australiaalltests2019played">AUS!$F$19</definedName>
    <definedName name="australiaalltests2019playedcorrect">AUS!$Y$19</definedName>
    <definedName name="australiaalltests2019ptsagainst">AUS!$G$19</definedName>
    <definedName name="australiaalltests2019ptsscored">AUS!$F$19</definedName>
    <definedName name="australiaalltests2019triesconc">AUS!$R$19</definedName>
    <definedName name="australiaalltests2019triesscored">AUS!$J$19</definedName>
    <definedName name="australiaalltests2019won">AUS!$Z$19</definedName>
    <definedName name="Australiaalltestshistdrawn">Sum!$E$4</definedName>
    <definedName name="Australiaalltestshistlost">Sum!$D$4</definedName>
    <definedName name="Australiaalltestshistplayed">Sum!$B$4</definedName>
    <definedName name="Australiaalltestshistptsagainst">Sum!$H$4</definedName>
    <definedName name="Australiaalltestshistptsscored">Sum!$G$4</definedName>
    <definedName name="Australiaalltestshisttriesscored">Sum!$I$4</definedName>
    <definedName name="Australiaalltestshistwon">Sum!$C$4</definedName>
    <definedName name="AustraliaWChistdrawn">Sum!$E$29</definedName>
    <definedName name="AustraliaWChistlost">Sum!$D$29</definedName>
    <definedName name="AustraliaWChistplayed">Sum!$B$29</definedName>
    <definedName name="AustraliaWChistptsagainst">Sum!$H$29</definedName>
    <definedName name="AustraliaWChistptsscored">Sum!$G$29</definedName>
    <definedName name="AustraliaWChisttriesscored">Sum!$I$29</definedName>
    <definedName name="AustraliaWChistwon">Sum!$C$29</definedName>
    <definedName name="austrf">AUS!#REF!</definedName>
    <definedName name="auswon">AUS!#REF!</definedName>
    <definedName name="ausyellow">AUS!#REF!</definedName>
    <definedName name="bathbonus">ARG!#REF!</definedName>
    <definedName name="bathbonusccorrect">ARG!#REF!</definedName>
    <definedName name="bathconceded">ARG!#REF!</definedName>
    <definedName name="bathdrawn">ARG!#REF!</definedName>
    <definedName name="bathdropgoals">ARG!#REF!</definedName>
    <definedName name="bathlost">ARG!#REF!</definedName>
    <definedName name="bathpld">ARG!#REF!</definedName>
    <definedName name="bathpodrawn">ARG!#REF!</definedName>
    <definedName name="bathpolost">ARG!#REF!</definedName>
    <definedName name="bathpopld">ARG!#REF!</definedName>
    <definedName name="bathpoptsconceded">ARG!#REF!</definedName>
    <definedName name="bathpoptsscored">ARG!#REF!</definedName>
    <definedName name="bathpored">ARG!#REF!</definedName>
    <definedName name="bathpotriesconceded">ARG!#REF!</definedName>
    <definedName name="bathpotriesscored">ARG!#REF!</definedName>
    <definedName name="bathpowon">ARG!#REF!</definedName>
    <definedName name="bathpoyellow">ARG!#REF!</definedName>
    <definedName name="bathred">ARG!#REF!</definedName>
    <definedName name="bathscored">ARG!#REF!</definedName>
    <definedName name="bathtriesconceded">ARG!#REF!</definedName>
    <definedName name="bathtriesscored">ARG!#REF!</definedName>
    <definedName name="bathtrybonus">ARG!#REF!</definedName>
    <definedName name="bathtrybonusconceded">ARG!#REF!</definedName>
    <definedName name="bathwon">ARG!#REF!</definedName>
    <definedName name="bathyellow">ARG!#REF!</definedName>
    <definedName name="Bristolpremseasontotalsdgs">[1]BRI!$L$38</definedName>
    <definedName name="Bristolpremseasontotalsdrawn">[1]BRI!$AA$38</definedName>
    <definedName name="Bristolpremseasontotalslost">[1]BRI!$AB$38</definedName>
    <definedName name="Bristolpremseasontotalsplayed">[1]BRI!$Y$38</definedName>
    <definedName name="Bristolpremseasontotalsptsagainst">[1]BRI!$G$38</definedName>
    <definedName name="Bristolpremseasontotalsptsscored">[1]BRI!$F$38</definedName>
    <definedName name="BristolpremseasontotalsRC">[1]BRI!$O$38</definedName>
    <definedName name="Bristolpremseasontotalstriesconceded">[1]BRI!$R$38</definedName>
    <definedName name="Bristolpremseasontotalstriesscored">[1]BRI!$J$38</definedName>
    <definedName name="Bristolpremseasontotalswon">[1]BRI!$Z$38</definedName>
    <definedName name="BristolpremseasontotalsYC">[1]BRI!$N$38</definedName>
    <definedName name="bstred">[2]BRI!$O$35</definedName>
    <definedName name="bsttrybonusconceded">[1]BRI!$P$36</definedName>
    <definedName name="bsttrybonusscored">[1]BRI!$H$36</definedName>
    <definedName name="bstyellow">[2]BRI!$N$35</definedName>
    <definedName name="Bthhistagainst">[1]Sum!$H$3</definedName>
    <definedName name="Bthhistdrawn">[1]Sum!$E$3</definedName>
    <definedName name="Bthhistfor">[1]Sum!$G$3</definedName>
    <definedName name="Bthhistlost">[1]Sum!$D$3</definedName>
    <definedName name="Bthhistplayed">[1]Sum!$B$3</definedName>
    <definedName name="Bthhisttriesscored">[1]Sum!$J$3</definedName>
    <definedName name="Bthhistwon">[1]Sum!$C$3</definedName>
    <definedName name="bthpremseasontotalsdgs">[1]BTH!$L$37</definedName>
    <definedName name="bthpremseasontotalslost">[1]BTH!$AB$37</definedName>
    <definedName name="bthpremseasontotalsplayed">[1]BTH!$Y$37</definedName>
    <definedName name="bthpremseasontotalsptsagainst">[1]BTH!$G$37</definedName>
    <definedName name="bthpremseasontotalsptsscored">[1]BTH!$F$37</definedName>
    <definedName name="bthpremseasontotalsRC">[1]BTH!$O$37</definedName>
    <definedName name="bthpremseasontotalstriesconceded">[1]BTH!$R$37</definedName>
    <definedName name="bthpremseasontotalstriesscored">[1]BTH!$J$37</definedName>
    <definedName name="bthpremseasontotalswon">[1]BTH!$Y$37</definedName>
    <definedName name="bthpremseasontotalsYC">[1]BTH!$N$37</definedName>
    <definedName name="can2019alltestsdrawn">CAN!$AA$8</definedName>
    <definedName name="can2019alltestslost">CAN!$AB$8</definedName>
    <definedName name="can2019alltestsplayed">CAN!$Y$8</definedName>
    <definedName name="can2019alltestsptsagainst">CAN!$G$8</definedName>
    <definedName name="can2019alltestsptsscored">CAN!$F$8</definedName>
    <definedName name="can2019allteststriescon">CAN!$R$8</definedName>
    <definedName name="can2019allteststriesscored">CAN!$J$8</definedName>
    <definedName name="can2019alltestswon">CAN!$Z$8</definedName>
    <definedName name="can2019pooldrawn">CAN!#REF!</definedName>
    <definedName name="can2019poollbcon">CAN!#REF!</definedName>
    <definedName name="can2019poollbscored">CAN!#REF!</definedName>
    <definedName name="can2019poollost">CAN!#REF!</definedName>
    <definedName name="can2019poolplayed">CAN!#REF!</definedName>
    <definedName name="can2019poolptsagainst">CAN!#REF!</definedName>
    <definedName name="can2019poolptsscored">CAN!#REF!</definedName>
    <definedName name="can2019pooltbcon">CAN!#REF!</definedName>
    <definedName name="can2019pooltbscored">CAN!#REF!</definedName>
    <definedName name="can2019pooltriescon">CAN!#REF!</definedName>
    <definedName name="can2019pooltriesscored">CAN!#REF!</definedName>
    <definedName name="can2019pooltriesscoredcorrect">CAN!#REF!</definedName>
    <definedName name="can2019poolwon">CAN!#REF!</definedName>
    <definedName name="can2019rwcdrawn">CAN!#REF!</definedName>
    <definedName name="can2019rwclost">CAN!#REF!</definedName>
    <definedName name="can2019rwcplayed">CAN!#REF!</definedName>
    <definedName name="can2019rwcptsagainst">CAN!#REF!</definedName>
    <definedName name="can2019rwcptsscored">CAN!#REF!</definedName>
    <definedName name="can2019rwcrc">CAN!#REF!</definedName>
    <definedName name="can2019rwctriescon">CAN!#REF!</definedName>
    <definedName name="can2019rwctriesscored">CAN!#REF!</definedName>
    <definedName name="can2019rwcwon">CAN!#REF!</definedName>
    <definedName name="can2019rwcyc">CAN!#REF!</definedName>
    <definedName name="Canadaalltestshistdrawn">Sum!$E$5</definedName>
    <definedName name="Canadaalltestshistlost">Sum!$D$5</definedName>
    <definedName name="Canadaalltestshistplayed">Sum!$B$5</definedName>
    <definedName name="Canadaalltestshistptsagainst">Sum!$H$5</definedName>
    <definedName name="Canadaalltestshistptsscored">Sum!$G$5</definedName>
    <definedName name="Canadaalltestshisttriesscored">Sum!$I$5</definedName>
    <definedName name="Canadaalltestshistwon">Sum!$C$5</definedName>
    <definedName name="CanadaRWChistdrawn">Sum!$E$30</definedName>
    <definedName name="CanadaRWChistlost">Sum!$D$30</definedName>
    <definedName name="CanadaRWChistplayed">Sum!$B$30</definedName>
    <definedName name="CanadaRWChistptsagainst">Sum!$H$30</definedName>
    <definedName name="CanadaRWChistptsscored">Sum!$G$30</definedName>
    <definedName name="CanadaRWChisttriesscored">Sum!$I$30</definedName>
    <definedName name="CanadaRWChistwon">Sum!$C$30</definedName>
    <definedName name="canlb">CAN!#REF!</definedName>
    <definedName name="canlbcon">CAN!#REF!</definedName>
    <definedName name="canoveralldrwn">CAN!#REF!</definedName>
    <definedName name="canoveralllost">CAN!#REF!</definedName>
    <definedName name="canoverallpld">CAN!#REF!</definedName>
    <definedName name="canoverallptsag">CAN!#REF!</definedName>
    <definedName name="canoverallptsscored">CAN!#REF!</definedName>
    <definedName name="canoveralltriescon">CAN!#REF!</definedName>
    <definedName name="canoveralltriesscored">CAN!#REF!</definedName>
    <definedName name="canoverallwon">CAN!#REF!</definedName>
    <definedName name="canpooldrawn">CAN!#REF!</definedName>
    <definedName name="canpoollost">CAN!#REF!</definedName>
    <definedName name="canpoolpld">CAN!#REF!</definedName>
    <definedName name="canpoolptsag">CAN!#REF!</definedName>
    <definedName name="canpoolptsscored">CAN!#REF!</definedName>
    <definedName name="canpooltriescon">CAN!#REF!</definedName>
    <definedName name="canpooltriesscored">CAN!#REF!</definedName>
    <definedName name="canpoolwoin">CAN!#REF!</definedName>
    <definedName name="canred">CAN!#REF!</definedName>
    <definedName name="cantb">CAN!#REF!</definedName>
    <definedName name="cantbcon">CAN!#REF!</definedName>
    <definedName name="canyellow">CAN!#REF!</definedName>
    <definedName name="drawn">NZL!$AA$18</definedName>
    <definedName name="Eng2019alltestsdrawn">ENG!$AA$17</definedName>
    <definedName name="Eng2019alltestslost">ENG!$AB$17</definedName>
    <definedName name="Eng2019alltestsplayed">ENG!$Y$17</definedName>
    <definedName name="Eng2019alltestsptsagainst">ENG!$G$17</definedName>
    <definedName name="Eng2019alltestsptsscored">ENG!$F$17</definedName>
    <definedName name="Eng2019allteststriescon">ENG!$R$17</definedName>
    <definedName name="Eng2019allteststriesscored">ENG!$J$17</definedName>
    <definedName name="Eng2019alltestswon">ENG!$Z$17</definedName>
    <definedName name="Eng2019pooldrawn">ENG!#REF!</definedName>
    <definedName name="Eng2019poollbcon">ENG!#REF!</definedName>
    <definedName name="Eng2019poollbscored">ENG!#REF!</definedName>
    <definedName name="Eng2019poollost">ENG!#REF!</definedName>
    <definedName name="Eng2019poolplayed">ENG!#REF!</definedName>
    <definedName name="Eng2019poolptsagainst">ENG!#REF!</definedName>
    <definedName name="Eng2019poolptsscored">ENG!#REF!</definedName>
    <definedName name="Eng2019pooltbcon">ENG!#REF!</definedName>
    <definedName name="Eng2019pooltbscored">ENG!#REF!</definedName>
    <definedName name="Eng2019pooltriescon">ENG!#REF!</definedName>
    <definedName name="Eng2019pooltriesscored">ENG!#REF!</definedName>
    <definedName name="Eng2019poolwon">ENG!#REF!</definedName>
    <definedName name="Eng2019RWCdrawn">ENG!#REF!</definedName>
    <definedName name="Eng2019RWClost">ENG!#REF!</definedName>
    <definedName name="Eng2019RWCplayed">ENG!#REF!</definedName>
    <definedName name="Eng2019RWCptsagainst">ENG!#REF!</definedName>
    <definedName name="Eng2019RWCptsscored">ENG!#REF!</definedName>
    <definedName name="Eng2019RWCrc">ENG!#REF!</definedName>
    <definedName name="Eng2019RWCtriescon">ENG!#REF!</definedName>
    <definedName name="Eng2019RWCtriesscored">ENG!#REF!</definedName>
    <definedName name="Eng2019RWCwon">ENG!#REF!</definedName>
    <definedName name="Eng2019RWCyc">ENG!#REF!</definedName>
    <definedName name="Englandalltestshistdrawn">Sum!$E$6</definedName>
    <definedName name="Englandalltestshistlost">Sum!$D$6</definedName>
    <definedName name="Englandalltestshistplayed">Sum!$B$6</definedName>
    <definedName name="Englandalltestshistptsagainst">Sum!$H$6</definedName>
    <definedName name="Englandalltestshistptsscored">Sum!$G$6</definedName>
    <definedName name="Englandalltestshisttriesscored">Sum!$I$6</definedName>
    <definedName name="Englandalltestshistwon">Sum!$C$6</definedName>
    <definedName name="Englanddrawn">ENG!$AA$15</definedName>
    <definedName name="Englandlosingbonus">ENG!$I$15</definedName>
    <definedName name="Englandlost">ENG!$AB$15</definedName>
    <definedName name="Englandplayed">ENG!$Y$15</definedName>
    <definedName name="Englandptsagainst">ENG!$G$15</definedName>
    <definedName name="Englandptsscored">ENG!$F$15</definedName>
    <definedName name="Englandred">ENG!$O$15</definedName>
    <definedName name="EnglandRWChistdrawn">Sum!$E$31</definedName>
    <definedName name="EnglandRWChistlost">Sum!$D$31</definedName>
    <definedName name="EnglandRWChistplayed">Sum!$B$31</definedName>
    <definedName name="EnglandRWChistptsagainst">Sum!$H$31</definedName>
    <definedName name="EnglandRWChistptsscored">Sum!$G$31</definedName>
    <definedName name="EnglandRWChisttriesscored">Sum!$I$31</definedName>
    <definedName name="EnglandRWChistwon">Sum!$C$31</definedName>
    <definedName name="Englandtriesagainst">ENG!$R$15</definedName>
    <definedName name="Englandtriesscored">ENG!$J$15</definedName>
    <definedName name="Englandtrybonus">ENG!$H$15</definedName>
    <definedName name="Englandwon">ENG!$Z$15</definedName>
    <definedName name="Englandyellow">ENG!$N$15</definedName>
    <definedName name="englb">ENG!#REF!</definedName>
    <definedName name="englbcon">ENG!#REF!</definedName>
    <definedName name="engoveralldrawn">ENG!#REF!</definedName>
    <definedName name="engoveralllost">ENG!#REF!</definedName>
    <definedName name="engoverallpld">ENG!#REF!</definedName>
    <definedName name="engoverallptsag">ENG!#REF!</definedName>
    <definedName name="engoverallptsscored">ENG!#REF!</definedName>
    <definedName name="engoveralltriescon">ENG!#REF!</definedName>
    <definedName name="engoveralltriesscored">ENG!#REF!</definedName>
    <definedName name="engoverallwon">ENG!#REF!</definedName>
    <definedName name="engpooldrawn">ENG!#REF!</definedName>
    <definedName name="engpoollost">ENG!#REF!</definedName>
    <definedName name="engpoolpld">ENG!#REF!</definedName>
    <definedName name="engpoolptsag">ENG!#REF!</definedName>
    <definedName name="engpoolptsscored">ENG!#REF!</definedName>
    <definedName name="engpooltriescon">ENG!#REF!</definedName>
    <definedName name="engpooltriesscored">ENG!#REF!</definedName>
    <definedName name="engpoolwon">ENG!#REF!</definedName>
    <definedName name="engred">ENG!#REF!</definedName>
    <definedName name="engtb">ENG!#REF!</definedName>
    <definedName name="engtbcon">ENG!#REF!</definedName>
    <definedName name="engtriescon">ENG!#REF!</definedName>
    <definedName name="engyellow">ENG!#REF!</definedName>
    <definedName name="Exepremtotalsdgs">[1]EXE!$L$39</definedName>
    <definedName name="Exepremtotalslost">[1]EXE!$AB$39</definedName>
    <definedName name="Exepremtotalsplayed">[1]EXE!$Y$39</definedName>
    <definedName name="Exepremtotalsptsagainst">[1]EXE!$G$39</definedName>
    <definedName name="Exepremtotalsptsscored">[1]EXE!$F$39</definedName>
    <definedName name="Exepremtotalsrc">[1]EXE!$O$39</definedName>
    <definedName name="Exepremtotalstriesconceded">[1]EXE!$R$39</definedName>
    <definedName name="Exepremtotalstriesscored">[1]EXE!$J$39</definedName>
    <definedName name="Exepremtotalswon">[1]EXE!$Z$39</definedName>
    <definedName name="Exepremtotalsyc">[1]EXE!$N$39</definedName>
    <definedName name="exeterbonus">AUS!#REF!</definedName>
    <definedName name="exeterconceded">AUS!#REF!</definedName>
    <definedName name="exeterdrawn">AUS!#REF!</definedName>
    <definedName name="exeterlosingbonus">AUS!#REF!</definedName>
    <definedName name="exeterlosingbonusconceded">AUS!#REF!</definedName>
    <definedName name="exeterlost">AUS!#REF!</definedName>
    <definedName name="exeterpld">AUS!#REF!</definedName>
    <definedName name="exeterpremdrawn">[1]EXE!$AA$37</definedName>
    <definedName name="exeterpremred">[2]EXE!$O$39</definedName>
    <definedName name="exeterpremtrybonusconc">[1]EXE!$P$37</definedName>
    <definedName name="exeterpremtrybonusscored">[1]EXE!$H$37</definedName>
    <definedName name="exeterpremyellow">[2]EXE!$N$39</definedName>
    <definedName name="exeterred">AUS!#REF!</definedName>
    <definedName name="exeterscored">AUS!#REF!</definedName>
    <definedName name="exetertriesconceded">AUS!#REF!</definedName>
    <definedName name="exetertriesscored">AUS!#REF!</definedName>
    <definedName name="exetertrybonusconceded">AUS!#REF!</definedName>
    <definedName name="exetertrybonusscored">AUS!#REF!</definedName>
    <definedName name="exeterwon">AUS!#REF!</definedName>
    <definedName name="exeteryellow">AUS!#REF!</definedName>
    <definedName name="feapoolptsag">FRA!#REF!</definedName>
    <definedName name="Fij2019alltestsdrawn">FIJ!$AA$8</definedName>
    <definedName name="Fij2019alltestslost">FIJ!$AB$8</definedName>
    <definedName name="Fij2019alltestsplayed">FIJ!$Y$8</definedName>
    <definedName name="Fij2019alltestsptsagainst">FIJ!$G$8</definedName>
    <definedName name="Fij2019alltestsptsscored">FIJ!$F$8</definedName>
    <definedName name="Fij2019allteststriescon">FIJ!$R$8</definedName>
    <definedName name="Fij2019allteststriesscored">FIJ!$J$8</definedName>
    <definedName name="Fij2019alltestswon">FIJ!$Z$8</definedName>
    <definedName name="Fij2019pooldrawn">FIJ!#REF!</definedName>
    <definedName name="Fij2019poollbcon">FIJ!#REF!</definedName>
    <definedName name="Fij2019poollbscored">FIJ!#REF!</definedName>
    <definedName name="Fij2019poollost">FIJ!#REF!</definedName>
    <definedName name="Fij2019poolplayed">FIJ!#REF!</definedName>
    <definedName name="Fij2019poolptsagainst">FIJ!#REF!</definedName>
    <definedName name="Fij2019poolptsscored">FIJ!#REF!</definedName>
    <definedName name="Fij2019pooltbcon">FIJ!#REF!</definedName>
    <definedName name="Fij2019pooltbscored">FIJ!#REF!</definedName>
    <definedName name="Fij2019pooltriescon">FIJ!#REF!</definedName>
    <definedName name="Fij2019pooltriesscored">FIJ!#REF!</definedName>
    <definedName name="Fij2019poolwon">FIJ!#REF!</definedName>
    <definedName name="Fij2019RWCdrawn">FIJ!#REF!</definedName>
    <definedName name="Fij2019RWClost">FIJ!#REF!</definedName>
    <definedName name="Fij2019RWCplayed">FIJ!#REF!</definedName>
    <definedName name="Fij2019RWCptsagainst">FIJ!#REF!</definedName>
    <definedName name="Fij2019RWCptsscored">FIJ!#REF!</definedName>
    <definedName name="Fij2019RWCrc">FIJ!#REF!</definedName>
    <definedName name="Fij2019RWCtriescon">FIJ!#REF!</definedName>
    <definedName name="Fij2019RWCtriesscored">FIJ!#REF!</definedName>
    <definedName name="Fij2019RWCwonj">FIJ!#REF!</definedName>
    <definedName name="Fij2019RWCyc">FIJ!#REF!</definedName>
    <definedName name="Fijialltestshistdrawn">Sum!$E$7</definedName>
    <definedName name="Fijialltestshistlost">Sum!$D$7</definedName>
    <definedName name="Fijialltestshistplayed">Sum!$B$7</definedName>
    <definedName name="Fijialltestshistptsagainst">Sum!$H$7</definedName>
    <definedName name="Fijialltestshistptsscored">Sum!$G$7</definedName>
    <definedName name="Fijialltestshisttriesscored">Sum!$I$7</definedName>
    <definedName name="Fijialltestshistwon">Sum!$C$7</definedName>
    <definedName name="FijiRWChistdrawn">Sum!$E$32</definedName>
    <definedName name="FijiRWChistlost">Sum!$D$32</definedName>
    <definedName name="FijiRWChistplayed">Sum!$B$32</definedName>
    <definedName name="FijiRWChistptsagainst">Sum!$H$32</definedName>
    <definedName name="FijiRWChistptsscored">Sum!$G$32</definedName>
    <definedName name="FijiRWChisttriesscored">Sum!$I$32</definedName>
    <definedName name="FijiRWChistwon">Sum!$C$32</definedName>
    <definedName name="fijlb">FIJ!#REF!</definedName>
    <definedName name="fijlbcon">FIJ!#REF!</definedName>
    <definedName name="fijoveralldrawn">FIJ!#REF!</definedName>
    <definedName name="fijoveralllost">FIJ!#REF!</definedName>
    <definedName name="fijoverallpld">FIJ!#REF!</definedName>
    <definedName name="fijoverallptsaga">FIJ!#REF!</definedName>
    <definedName name="fijoverallptsscored">FIJ!#REF!</definedName>
    <definedName name="fijoveralltriescon">FIJ!#REF!</definedName>
    <definedName name="fijoveralltriesscored">FIJ!#REF!</definedName>
    <definedName name="fijoverallwon">FIJ!#REF!</definedName>
    <definedName name="Fijpooldrawn">FIJ!#REF!</definedName>
    <definedName name="Fijpoollost">FIJ!#REF!</definedName>
    <definedName name="Fijpoolpld">FIJ!#REF!</definedName>
    <definedName name="Fijpoolptsag">FIJ!#REF!</definedName>
    <definedName name="Fijpoolptsscored">FIJ!#REF!</definedName>
    <definedName name="Fijpooltriescon">FIJ!#REF!</definedName>
    <definedName name="Fijpooltriesscored">FIJ!#REF!</definedName>
    <definedName name="Fijpoolwon">FIJ!#REF!</definedName>
    <definedName name="fijred">FIJ!#REF!</definedName>
    <definedName name="fijtb">FIJ!#REF!</definedName>
    <definedName name="fijtbcon">FIJ!#REF!</definedName>
    <definedName name="fijyellow">FIJ!#REF!</definedName>
    <definedName name="Fra2019alltestsdrawn">FRA!$AA$15</definedName>
    <definedName name="Fra2019alltestslost">FRA!$AB$15</definedName>
    <definedName name="Fra2019alltestsplayed">FRA!$Y$15</definedName>
    <definedName name="Fra2019alltestsptsagainst">FRA!$G$15</definedName>
    <definedName name="Fra2019alltestsptsscored">FRA!$F$15</definedName>
    <definedName name="Fra2019allteststriescon">FRA!$R$15</definedName>
    <definedName name="Fra2019allteststriesscored">FRA!$J$15</definedName>
    <definedName name="Fra2019alltestswon">FRA!$Z$15</definedName>
    <definedName name="Fra2019pooldrawn">FRA!#REF!</definedName>
    <definedName name="Fra2019poollbcon">FRA!#REF!</definedName>
    <definedName name="Fra2019poollbscored">FRA!#REF!</definedName>
    <definedName name="Fra2019poollost">FRA!#REF!</definedName>
    <definedName name="Fra2019poolplayed">FRA!#REF!</definedName>
    <definedName name="Fra2019poolptsagainst">FRA!#REF!</definedName>
    <definedName name="Fra2019poolptsagaints">FRA!#REF!</definedName>
    <definedName name="Fra2019poolptsscored">FRA!#REF!</definedName>
    <definedName name="Fra2019pooltbcon">FRA!#REF!</definedName>
    <definedName name="Fra2019pooltbscored">FRA!#REF!</definedName>
    <definedName name="Fra2019pooltriescon">FRA!#REF!</definedName>
    <definedName name="Fra2019pooltriesscored">FRA!#REF!</definedName>
    <definedName name="Fra2019pooltriesscoredcorrect">FRA!#REF!</definedName>
    <definedName name="Fra2019poolwon">FRA!#REF!</definedName>
    <definedName name="Fra2019RWCdrawn">FRA!#REF!</definedName>
    <definedName name="Fra2019RWClost">FRA!#REF!</definedName>
    <definedName name="Fra2019RWCplayed">FRA!#REF!</definedName>
    <definedName name="Fra2019RWCptsagainst">FRA!#REF!</definedName>
    <definedName name="Fra2019RWCptsscored">FRA!#REF!</definedName>
    <definedName name="Fra2019RWCrc">FRA!#REF!</definedName>
    <definedName name="Fra2019RWCtriescon">FRA!#REF!</definedName>
    <definedName name="Fra2019RWCtriesscored">FRA!#REF!</definedName>
    <definedName name="Fra2019RWCwon">FRA!#REF!</definedName>
    <definedName name="Fra2019RWCyc">FRA!#REF!</definedName>
    <definedName name="fralb">FRA!#REF!</definedName>
    <definedName name="fralbcon">FRA!#REF!</definedName>
    <definedName name="Francealltestshistdrawn">Sum!$E$8</definedName>
    <definedName name="Francealltestshistlost">Sum!$D$8</definedName>
    <definedName name="Francealltestshistplayed">Sum!$B$8</definedName>
    <definedName name="Francealltestshistptscon">Sum!$H$8</definedName>
    <definedName name="Francealltestshistptsscored">Sum!$G$8</definedName>
    <definedName name="Francealltestshisttriesscored">Sum!$I$8</definedName>
    <definedName name="Francealltestshistwon">Sum!$C$8</definedName>
    <definedName name="Francedrawn">FRA!$AA$13</definedName>
    <definedName name="Francelosingbonus">FRA!$I$13</definedName>
    <definedName name="Francelost">FRA!$AB$13</definedName>
    <definedName name="Franceplayed">FRA!$Y$13</definedName>
    <definedName name="Franceptsagainst">FRA!$G$13</definedName>
    <definedName name="Franceptsscored">FRA!$F$13</definedName>
    <definedName name="Francered">FRA!$O$13</definedName>
    <definedName name="FranceRWChistdrawn">Sum!$E$33</definedName>
    <definedName name="FranceRWChistlost">Sum!$D$33</definedName>
    <definedName name="FranceRWChistplayed">Sum!$B$33</definedName>
    <definedName name="FranceRWChistptsagainst">Sum!$H$33</definedName>
    <definedName name="FranceRWChistptsscored">Sum!$G$33</definedName>
    <definedName name="FranceRWChisttriesscored">Sum!$I$33</definedName>
    <definedName name="FranceRWChistwon">Sum!$C$33</definedName>
    <definedName name="Francetriesagainst">FRA!$R$13</definedName>
    <definedName name="Francetriesscored">FRA!$J$13</definedName>
    <definedName name="Francetrybonus">FRA!$H$13</definedName>
    <definedName name="Francewon">FRA!$Z$13</definedName>
    <definedName name="FRanceyellow">FRA!$N$13</definedName>
    <definedName name="fraoveralldrawn">FRA!#REF!</definedName>
    <definedName name="fraoveralllost">FRA!#REF!</definedName>
    <definedName name="fraoverallpld">FRA!#REF!</definedName>
    <definedName name="fraoverallptsag">FRA!#REF!</definedName>
    <definedName name="fraoverallptsscored">FRA!#REF!</definedName>
    <definedName name="fraoveralltriescon">FRA!#REF!</definedName>
    <definedName name="fraoveralltriesscored">FRA!#REF!</definedName>
    <definedName name="fraoverallwon">FRA!#REF!</definedName>
    <definedName name="frapooldrawn">FRA!#REF!</definedName>
    <definedName name="frapoollost">FRA!#REF!</definedName>
    <definedName name="frapoolpld">FRA!#REF!</definedName>
    <definedName name="frapoolptsscored">FRA!#REF!</definedName>
    <definedName name="frapooltriescon">FRA!#REF!</definedName>
    <definedName name="frapooltriesscored">FRA!#REF!</definedName>
    <definedName name="frapoolwon">FRA!#REF!</definedName>
    <definedName name="frared">FRA!#REF!</definedName>
    <definedName name="fratb">FRA!#REF!</definedName>
    <definedName name="fratbcon">FRA!#REF!</definedName>
    <definedName name="frayellow">FRA!#REF!</definedName>
    <definedName name="g">[3]SAR!$AB$36</definedName>
    <definedName name="Geo2019alltestsdrawn">GEO!$AA$15</definedName>
    <definedName name="Geo2019alltestslost">GEO!$AB$15</definedName>
    <definedName name="Geo2019alltestsplayed">GEO!$Y$15</definedName>
    <definedName name="Geo2019alltestsptsagainst">GEO!$G$15</definedName>
    <definedName name="Geo2019alltestsptsscored">GEO!$F$15</definedName>
    <definedName name="Geo2019allteststriesconceded">GEO!$R$15</definedName>
    <definedName name="Geo2019allteststriesscored">GEO!$J$15</definedName>
    <definedName name="Geo2019alltestswon">GEO!$Z$15</definedName>
    <definedName name="Geo2019pooldrawn">GEO!#REF!</definedName>
    <definedName name="Geo2019poollbcon">GEO!#REF!</definedName>
    <definedName name="Geo2019poollbscored">GEO!#REF!</definedName>
    <definedName name="Geo2019poollost">GEO!#REF!</definedName>
    <definedName name="Geo2019poolplayed">GEO!#REF!</definedName>
    <definedName name="Geo2019poolptsagainst">GEO!#REF!</definedName>
    <definedName name="Geo2019poolptsscored">GEO!#REF!</definedName>
    <definedName name="Geo2019pooltbcon">GEO!#REF!</definedName>
    <definedName name="Geo2019pooltbscored">GEO!#REF!</definedName>
    <definedName name="Geo2019pooltriescon">GEO!#REF!</definedName>
    <definedName name="Geo2019pooltriesscored">GEO!#REF!</definedName>
    <definedName name="Geo2019poolwon">GEO!#REF!</definedName>
    <definedName name="Geo2019RWCdrawn">GEO!#REF!</definedName>
    <definedName name="Geo2019RWClost">GEO!#REF!</definedName>
    <definedName name="Geo2019RWCplayed">GEO!#REF!</definedName>
    <definedName name="Geo2019RWCptsagainst">GEO!#REF!</definedName>
    <definedName name="Geo2019RWCptsscored">GEO!#REF!</definedName>
    <definedName name="Geo2019RWCrc">GEO!#REF!</definedName>
    <definedName name="Geo2019RWCtriescon">GEO!#REF!</definedName>
    <definedName name="Geo2019RWCtriesscored">GEO!#REF!</definedName>
    <definedName name="Geo2019RWCwon">GEO!#REF!</definedName>
    <definedName name="Geo2019RWCyc">GEO!#REF!</definedName>
    <definedName name="geolb">GEO!#REF!</definedName>
    <definedName name="geolbcon">GEO!#REF!</definedName>
    <definedName name="geooveralldrawn">GEO!#REF!</definedName>
    <definedName name="geooveralllost">GEO!#REF!</definedName>
    <definedName name="geooverallpld">GEO!#REF!</definedName>
    <definedName name="geooverallptsag">GEO!#REF!</definedName>
    <definedName name="geooverallptsscored">GEO!#REF!</definedName>
    <definedName name="geooveralltriescon">GEO!#REF!</definedName>
    <definedName name="geooveralltriesscored">GEO!#REF!</definedName>
    <definedName name="geooverallwon">GEO!#REF!</definedName>
    <definedName name="geopooldrawn">GEO!#REF!</definedName>
    <definedName name="geopoollost">GEO!#REF!</definedName>
    <definedName name="geopoolpld">GEO!#REF!</definedName>
    <definedName name="geopoolptsag">GEO!#REF!</definedName>
    <definedName name="geopoolptsscored">GEO!#REF!</definedName>
    <definedName name="geopooltriescon">GEO!#REF!</definedName>
    <definedName name="geopooltriesscored">GEO!#REF!</definedName>
    <definedName name="geopoolwon">GEO!#REF!</definedName>
    <definedName name="geored">GEO!#REF!</definedName>
    <definedName name="Georgiaalltestshistdrawn">Sum!$E$9</definedName>
    <definedName name="Georgiaalltestshistlost">Sum!$D$9</definedName>
    <definedName name="Georgiaalltestshistplayed">Sum!$B$9</definedName>
    <definedName name="Georgiaalltestshistptsagainst">Sum!$H$9</definedName>
    <definedName name="Georgiaalltestshistptsscored">Sum!$G$9</definedName>
    <definedName name="Georgiaalltestshisttriesscored">Sum!$I$9</definedName>
    <definedName name="Georgiaalltestshistwon">Sum!$C$9</definedName>
    <definedName name="GeorgiaRWChistdrawn">Sum!$E$34</definedName>
    <definedName name="GeorgiaRWChistlost">Sum!$D$34</definedName>
    <definedName name="GeorgiaRWChistplayed">Sum!$B$34</definedName>
    <definedName name="GeorgiaRWChistptsagainst">Sum!$H$34</definedName>
    <definedName name="GeorgiaRWChistptsscored">Sum!$G$34</definedName>
    <definedName name="GeorgiaRWChisttriesscored">Sum!$I$34</definedName>
    <definedName name="GeorgiaRWChistwon">Sum!$C$34</definedName>
    <definedName name="geotb">GEO!#REF!</definedName>
    <definedName name="geotbcon">GEO!#REF!</definedName>
    <definedName name="geoyellow">GEO!#REF!</definedName>
    <definedName name="glosbonus">ENG!#REF!</definedName>
    <definedName name="glosconceded">ENG!#REF!</definedName>
    <definedName name="glosdrawn">ENG!#REF!</definedName>
    <definedName name="gloslosingbonus">ENG!#REF!</definedName>
    <definedName name="gloslosingbonusconceded">ENG!#REF!</definedName>
    <definedName name="gloslost">ENG!#REF!</definedName>
    <definedName name="glosplayed">ENG!#REF!</definedName>
    <definedName name="glosred">ENG!#REF!</definedName>
    <definedName name="glosscored">ENG!#REF!</definedName>
    <definedName name="glostries">ENG!#REF!</definedName>
    <definedName name="glostriesconceded">ENG!#REF!</definedName>
    <definedName name="glostrybonus">ENG!#REF!</definedName>
    <definedName name="glostrybonusconceded">ENG!#REF!</definedName>
    <definedName name="gloswon">ENG!#REF!</definedName>
    <definedName name="glosyellow">ENG!#REF!</definedName>
    <definedName name="gloucesterpremred">[2]GLO!$O$40</definedName>
    <definedName name="gloucesterpremseasontotalsdgs">[1]GLO!$L$38</definedName>
    <definedName name="gloucesterpremseasontotalsdrawn">[1]GLO!$AA$38</definedName>
    <definedName name="gloucesterpremseasontotalslost">[1]GLO!$AB$38</definedName>
    <definedName name="gloucesterpremseasontotalsplayed">[1]GLO!$Y$38</definedName>
    <definedName name="gloucesterpremseasontotalsptsagainst">[1]GLO!$G$38</definedName>
    <definedName name="gloucesterpremseasontotalsptsscored">[1]GLO!$F$38</definedName>
    <definedName name="gloucesterpremseasontotalsRC">[1]GLO!$O$38</definedName>
    <definedName name="gloucesterpremseasontotalstriesconceded">[1]GLO!$R$38</definedName>
    <definedName name="gloucesterpremseasontotalstriesscored">[1]GLO!$J$38</definedName>
    <definedName name="gloucesterpremseasontotalswon">[1]GLO!$Z$38</definedName>
    <definedName name="gloucesterpremseasontotalsYC">[1]GLO!$N$38</definedName>
    <definedName name="gloucesterpremtrybonusconc">[1]GLO!$P$36</definedName>
    <definedName name="gloucesterpremtrybonusscored">[1]GLO!$H$36</definedName>
    <definedName name="gloucesterpremyellow">[2]GLO!$N$40</definedName>
    <definedName name="harbonus">FIJ!#REF!</definedName>
    <definedName name="harconceded">FIJ!#REF!</definedName>
    <definedName name="hardrawn">FIJ!#REF!</definedName>
    <definedName name="harlequinspremred">[2]HAR!$O$39</definedName>
    <definedName name="harlequinspremseasontotalsdgs">[1]HAR!$L$39</definedName>
    <definedName name="harlequinspremseasontotalsdrawn">[1]HAR!$AA$39</definedName>
    <definedName name="harlequinspremseasontotalslost">[1]HAR!$AB$39</definedName>
    <definedName name="harlequinspremseasontotalsplayed">[1]HAR!$Y$39</definedName>
    <definedName name="harlequinspremseasontotalsptsagainst">[1]HAR!$G$39</definedName>
    <definedName name="harlequinspremseasontotalsptsscored">[1]HAR!$F$39</definedName>
    <definedName name="harlequinspremseasontotalsRC">[1]HAR!$O$39</definedName>
    <definedName name="harlequinspremseasontotalstriesconceded">[1]HAR!$R$39</definedName>
    <definedName name="harlequinspremseasontotalstriesscored">[1]HAR!$J$39</definedName>
    <definedName name="harlequinspremseasontotalswon">[1]HAR!$Z$39</definedName>
    <definedName name="harlequinspremseasontotalsYC">[1]HAR!$N$39</definedName>
    <definedName name="harlequinspremtrybonuscon">[1]HAR!$P$37</definedName>
    <definedName name="harlequinspremtrybonusscored">[1]HAR!$H$37</definedName>
    <definedName name="harlequinspremyellow">[2]HAR!$N$39</definedName>
    <definedName name="harlosingbonus">FIJ!#REF!</definedName>
    <definedName name="harlosingbonusconceded">FIJ!#REF!</definedName>
    <definedName name="harlost">FIJ!#REF!</definedName>
    <definedName name="harplayed">FIJ!#REF!</definedName>
    <definedName name="harred">FIJ!#REF!</definedName>
    <definedName name="harscored">FIJ!#REF!</definedName>
    <definedName name="hartriesconceded">FIJ!#REF!</definedName>
    <definedName name="hartriesscored">FIJ!#REF!</definedName>
    <definedName name="hartrybonus">FIJ!#REF!</definedName>
    <definedName name="hartrybonusconceded">FIJ!#REF!</definedName>
    <definedName name="harwon">FIJ!#REF!</definedName>
    <definedName name="haryellow">FIJ!#REF!</definedName>
    <definedName name="Ire2019alltestsdrawn">IRE!$AA$16</definedName>
    <definedName name="Ire2019alltestslost">IRE!$AB$16</definedName>
    <definedName name="Ire2019alltestsplayed">IRE!$Y$16</definedName>
    <definedName name="Ire2019alltestsptscon">IRE!$G$16</definedName>
    <definedName name="Ire2019alltestsptsscored">IRE!$F$16</definedName>
    <definedName name="Ire2019allteststriescon">IRE!$R$16</definedName>
    <definedName name="Ire2019allteststriesscored">IRE!$J$16</definedName>
    <definedName name="Ire2019alltestswon">IRE!$Z$16</definedName>
    <definedName name="Ire2019pooldrawn">IRE!#REF!</definedName>
    <definedName name="Ire2019poollbcon">IRE!#REF!</definedName>
    <definedName name="Ire2019poollbscored">IRE!#REF!</definedName>
    <definedName name="Ire2019poollost">IRE!#REF!</definedName>
    <definedName name="Ire2019poolplayed">IRE!#REF!</definedName>
    <definedName name="Ire2019poolptscon">IRE!#REF!</definedName>
    <definedName name="Ire2019poolptsscored">IRE!#REF!</definedName>
    <definedName name="Ire2019pooltbcon">IRE!#REF!</definedName>
    <definedName name="Ire2019pooltbscored">IRE!#REF!</definedName>
    <definedName name="Ire2019pooltriescon">IRE!#REF!</definedName>
    <definedName name="Ire2019pooltriesscored">IRE!#REF!</definedName>
    <definedName name="Ire2019poolwon">IRE!#REF!</definedName>
    <definedName name="Ire2019RWCdrawn">IRE!#REF!</definedName>
    <definedName name="Ire2019RWClost">IRE!#REF!</definedName>
    <definedName name="Ire2019RWCplayed">IRE!#REF!</definedName>
    <definedName name="Ire2019RWCptsagainst">IRE!#REF!</definedName>
    <definedName name="Ire2019RWCptsscored">IRE!#REF!</definedName>
    <definedName name="Ire2019RWCrc">IRE!#REF!</definedName>
    <definedName name="Ire2019RWCtriescon">IRE!#REF!</definedName>
    <definedName name="Ire2019RWCtriesscored">IRE!#REF!</definedName>
    <definedName name="Ire2019RWCwon">IRE!#REF!</definedName>
    <definedName name="Ire2019RWCyc">IRE!#REF!</definedName>
    <definedName name="Irelandalltestshistdrawn">Sum!$E$10</definedName>
    <definedName name="Irelandalltestshistlost">Sum!$D$10</definedName>
    <definedName name="Irelandalltestshistplayed">Sum!$B$10</definedName>
    <definedName name="Irelandalltestshistptsagainst">Sum!$H$10</definedName>
    <definedName name="Irelandalltestshistptsscored">Sum!$G$10</definedName>
    <definedName name="Irelandalltestshisttriesscored">Sum!$I$10</definedName>
    <definedName name="Irelandalltestshistwon">Sum!$C$10</definedName>
    <definedName name="Irelanddrawn">IRE!$AA$14</definedName>
    <definedName name="Irelandlosingbonus">IRE!$I$14</definedName>
    <definedName name="Irelandlost">IRE!$AB$14</definedName>
    <definedName name="Irelandplayed">IRE!$Y$14</definedName>
    <definedName name="Irelandptsagainst">IRE!$G$14</definedName>
    <definedName name="Irelandptsscored">IRE!$F$14</definedName>
    <definedName name="Irelandred">IRE!$O$14</definedName>
    <definedName name="IrelandRWChistdrawn">Sum!$E$35</definedName>
    <definedName name="IrelandRWChistlost">Sum!$D$35</definedName>
    <definedName name="IrelandRWChistplayed">Sum!$B$35</definedName>
    <definedName name="IrelandRWChistptsagainst">Sum!$H$35</definedName>
    <definedName name="IrelandRWChistptsscored">Sum!$G$35</definedName>
    <definedName name="IrelandRWChisttriesscored">Sum!$I$35</definedName>
    <definedName name="IrelandRWChistwon">Sum!$C$35</definedName>
    <definedName name="Irelandtriesagainst">IRE!$R$14</definedName>
    <definedName name="Irelandtriesscored">IRE!$J$14</definedName>
    <definedName name="Irelandtrybonus">IRE!$H$14</definedName>
    <definedName name="Irelandwon">IRE!$Z$14</definedName>
    <definedName name="Irelandyellow">IRE!$N$14</definedName>
    <definedName name="irelb">IRE!#REF!</definedName>
    <definedName name="irelbcon">IRE!#REF!</definedName>
    <definedName name="ireoveralldrawn">IRE!#REF!</definedName>
    <definedName name="ireoveralllost">IRE!#REF!</definedName>
    <definedName name="ireoverallpld">IRE!#REF!</definedName>
    <definedName name="ireoverallptsag">IRE!#REF!</definedName>
    <definedName name="ireoverallptsscored">IRE!#REF!</definedName>
    <definedName name="ireoveralltriescon">IRE!#REF!</definedName>
    <definedName name="ireoveralltriesscored">IRE!#REF!</definedName>
    <definedName name="ireoverallwon">IRE!#REF!</definedName>
    <definedName name="irepooldrawn">IRE!#REF!</definedName>
    <definedName name="irepoollost">IRE!#REF!</definedName>
    <definedName name="irepoolpld">IRE!#REF!</definedName>
    <definedName name="irepoolptsag">IRE!#REF!</definedName>
    <definedName name="irepoolptsscored">IRE!#REF!</definedName>
    <definedName name="irepooltriescon">IRE!#REF!</definedName>
    <definedName name="irepooltriesscored">IRE!#REF!</definedName>
    <definedName name="irepoolwon">IRE!#REF!</definedName>
    <definedName name="irered">IRE!#REF!</definedName>
    <definedName name="iretb">IRE!#REF!</definedName>
    <definedName name="iretbcon">IRE!#REF!</definedName>
    <definedName name="ireyellow">IRE!#REF!</definedName>
    <definedName name="ita2019alltestsdrawn">ITA!$AA$16</definedName>
    <definedName name="ita2019alltestslost">ITA!$AB$16</definedName>
    <definedName name="ita2019alltestsplayed">ITA!$Y$16</definedName>
    <definedName name="ita2019alltestsptscon">ITA!$G$16</definedName>
    <definedName name="ita2019alltestsptsscored">ITA!$F$16</definedName>
    <definedName name="ita2019allteststriescon">ITA!$R$16</definedName>
    <definedName name="ita2019allteststriesscored">ITA!$J$16</definedName>
    <definedName name="ita2019alltestswon">ITA!$Z$16</definedName>
    <definedName name="ita2019pooldrawn">ITA!#REF!</definedName>
    <definedName name="ita2019poollbcon">ITA!#REF!</definedName>
    <definedName name="ita2019poollbscored">ITA!#REF!</definedName>
    <definedName name="ita2019poollost">ITA!#REF!</definedName>
    <definedName name="ita2019poolplayed">ITA!#REF!</definedName>
    <definedName name="ita2019poolptscon">ITA!#REF!</definedName>
    <definedName name="ita2019poolptsscored">ITA!#REF!</definedName>
    <definedName name="ita2019pooltbcon">ITA!#REF!</definedName>
    <definedName name="ita2019pooltbscored">ITA!#REF!</definedName>
    <definedName name="ita2019pooltriescon">ITA!#REF!</definedName>
    <definedName name="ita2019pooltriesscored">ITA!#REF!</definedName>
    <definedName name="ita2019poolwon">ITA!#REF!</definedName>
    <definedName name="ita2019RWCdrawn">ITA!#REF!</definedName>
    <definedName name="ita2019RWClost">ITA!#REF!</definedName>
    <definedName name="ita2019RWCplayed">ITA!#REF!</definedName>
    <definedName name="ita2019RWCptscon">ITA!#REF!</definedName>
    <definedName name="ita2019RWCptsscored">ITA!#REF!</definedName>
    <definedName name="ita2019RWCrc">ITA!#REF!</definedName>
    <definedName name="ita2019RWCtriescon">ITA!#REF!</definedName>
    <definedName name="ita2019RWCtriesscored">ITA!#REF!</definedName>
    <definedName name="ita2019RWCwon">ITA!#REF!</definedName>
    <definedName name="ita2019RWCyc">ITA!#REF!</definedName>
    <definedName name="italb">ITA!#REF!</definedName>
    <definedName name="italbcon">ITA!#REF!</definedName>
    <definedName name="Italyalltestshistdrawn">Sum!$E$11</definedName>
    <definedName name="Italyalltestshistlost">Sum!$D$11</definedName>
    <definedName name="Italyalltestshistplayed">Sum!$B$11</definedName>
    <definedName name="Italyalltestshistptsagainst">Sum!$H$11</definedName>
    <definedName name="Italyalltestshistptsscored">Sum!$G$11</definedName>
    <definedName name="Italyalltestshisttriesscored">Sum!$I$11</definedName>
    <definedName name="Italyalltestshistwon">Sum!$C$11</definedName>
    <definedName name="Italydrawn">ITA!$AA$14</definedName>
    <definedName name="Italylosingbonus">ITA!$I$14</definedName>
    <definedName name="Italylost">ITA!$AB$14</definedName>
    <definedName name="Italyplayed">ITA!$Y$14</definedName>
    <definedName name="Italyptsagainst">ITA!$G$14</definedName>
    <definedName name="Italyptsscored">ITA!$F$14</definedName>
    <definedName name="Italyred">ITA!$O$14</definedName>
    <definedName name="ItalyRWChistdrawn">Sum!$E$36</definedName>
    <definedName name="ItalyRWChistlost">Sum!$D$36</definedName>
    <definedName name="ItalyRWChistplayed">Sum!$B$36</definedName>
    <definedName name="ItalyRWChistptsagainst">Sum!$H$36</definedName>
    <definedName name="ItalyRWChistptsscored">Sum!$G$36</definedName>
    <definedName name="ItalyRWChisttriesscored">Sum!$I$36</definedName>
    <definedName name="ItalyRWChistwon">Sum!$C$36</definedName>
    <definedName name="Italytriesagainst">ITA!$R$14</definedName>
    <definedName name="Italytriesscored">ITA!$J$14</definedName>
    <definedName name="Italytrybonus">ITA!$H$14</definedName>
    <definedName name="Italywon">ITA!$Z$14</definedName>
    <definedName name="Italyyellow">ITA!$N$14</definedName>
    <definedName name="itaoveralldrawn">ITA!#REF!</definedName>
    <definedName name="itaoveralllost">ITA!#REF!</definedName>
    <definedName name="itaoverallpld">ITA!#REF!</definedName>
    <definedName name="itaoverallptsag">ITA!#REF!</definedName>
    <definedName name="itaoverallptsscored">ITA!#REF!</definedName>
    <definedName name="itaoveralltriesscored">ITA!#REF!</definedName>
    <definedName name="itaoverallwon">ITA!#REF!</definedName>
    <definedName name="itapooldrawm">ITA!#REF!</definedName>
    <definedName name="itapoollost">ITA!#REF!</definedName>
    <definedName name="itapoolpld">ITA!#REF!</definedName>
    <definedName name="itapoolptsag">ITA!#REF!</definedName>
    <definedName name="itapoolptsscored">ITA!#REF!</definedName>
    <definedName name="itapooltriescon">ITA!#REF!</definedName>
    <definedName name="itapooltriesscored">ITA!#REF!</definedName>
    <definedName name="itapoolwon">ITA!#REF!</definedName>
    <definedName name="itared">ITA!#REF!</definedName>
    <definedName name="itatb">ITA!#REF!</definedName>
    <definedName name="itatbcon">ITA!#REF!</definedName>
    <definedName name="itatriescon">ITA!#REF!</definedName>
    <definedName name="itayellow">ITA!#REF!</definedName>
    <definedName name="Japanalltestshistdrawn">Sum!$E$12</definedName>
    <definedName name="Japanalltestshistlost">Sum!$D$12</definedName>
    <definedName name="Japanalltestshistplayed">Sum!$B$12</definedName>
    <definedName name="Japanalltestshistptscon">Sum!$H$12</definedName>
    <definedName name="Japanalltestshistptsscored">Sum!$G$12</definedName>
    <definedName name="Japanalltestshisttriesscored">Sum!$G$12</definedName>
    <definedName name="Japanalltestshisttriesscoredcorrect">Sum!$I$12</definedName>
    <definedName name="Japanalltestshistwon">Sum!$C$12</definedName>
    <definedName name="JapanRWChistdrawn">Sum!$E$38</definedName>
    <definedName name="JapanRWChistlost">Sum!$D$38</definedName>
    <definedName name="JapanRWChistplayed">Sum!$B$38</definedName>
    <definedName name="JapanRWChistptsagainst">Sum!$H$38</definedName>
    <definedName name="JapanRWChistptsscored">Sum!$G$38</definedName>
    <definedName name="JapanRWChisttriesscored">Sum!$I$38</definedName>
    <definedName name="JapanRWChistwon">Sum!$C$38</definedName>
    <definedName name="jpn2019alltestsdrawn">JPN!$AA$10</definedName>
    <definedName name="jpn2019alltestslost">JPN!$AB$10</definedName>
    <definedName name="jpn2019alltestsplayed">JPN!$Y$10</definedName>
    <definedName name="jpn2019alltestsptsagainst">JPN!$G$10</definedName>
    <definedName name="jpn2019alltestsptsscored">JPN!$F$10</definedName>
    <definedName name="jpn2019allteststriescon">JPN!$R$10</definedName>
    <definedName name="jpn2019allteststriesscored">JPN!$J$10</definedName>
    <definedName name="jpn2019alltestswon">JPN!$Z$10</definedName>
    <definedName name="jpn2019pooldrawn">JPN!#REF!</definedName>
    <definedName name="jpn2019poollbcon">JPN!#REF!</definedName>
    <definedName name="jpn2019poollbscored">JPN!#REF!</definedName>
    <definedName name="jpn2019poollost">JPN!#REF!</definedName>
    <definedName name="jpn2019poolplayed">JPN!#REF!</definedName>
    <definedName name="jpn2019poolptscon">JPN!#REF!</definedName>
    <definedName name="jpn2019poolptsscored">JPN!#REF!</definedName>
    <definedName name="jpn2019pooltbcon">JPN!#REF!</definedName>
    <definedName name="jpn2019pooltbscored">JPN!#REF!</definedName>
    <definedName name="jpn2019pooltriescon">JPN!#REF!</definedName>
    <definedName name="jpn2019pooltriesscored">JPN!#REF!</definedName>
    <definedName name="jpn2019poolwon">JPN!#REF!</definedName>
    <definedName name="jpn2019rwcdrawn">JPN!#REF!</definedName>
    <definedName name="jpn2019rwclost">JPN!#REF!</definedName>
    <definedName name="jpn2019rwcplayed">JPN!#REF!</definedName>
    <definedName name="jpn2019rwcptsagainst">JPN!#REF!</definedName>
    <definedName name="jpn2019rwcptsscored">JPN!#REF!</definedName>
    <definedName name="jpn2019rwcrc">JPN!#REF!</definedName>
    <definedName name="jpn2019rwctriescon">JPN!#REF!</definedName>
    <definedName name="jpn2019rwctriesscored">JPN!#REF!</definedName>
    <definedName name="jpn2019rwcwon">JPN!#REF!</definedName>
    <definedName name="jpn2019rwcyc">JPN!#REF!</definedName>
    <definedName name="jpnlb">JPN!#REF!</definedName>
    <definedName name="jpnlbcon">JPN!#REF!</definedName>
    <definedName name="jpnoveralldrawn">JPN!#REF!</definedName>
    <definedName name="jpnoveralllost">JPN!#REF!</definedName>
    <definedName name="jpnoverallpld">JPN!#REF!</definedName>
    <definedName name="jpnoverallptsag">JPN!#REF!</definedName>
    <definedName name="jpnoverallptsscored">JPN!#REF!</definedName>
    <definedName name="jpnoveralltriescon">JPN!#REF!</definedName>
    <definedName name="jpnoveralltriesscored">JPN!#REF!</definedName>
    <definedName name="jpnoverallwon">JPN!#REF!</definedName>
    <definedName name="jpnpooldrawn">JPN!#REF!</definedName>
    <definedName name="jpnpoollost">JPN!#REF!</definedName>
    <definedName name="jpnpoolpld">JPN!#REF!</definedName>
    <definedName name="jpnpoolptsag">JPN!#REF!</definedName>
    <definedName name="jpnpoolptsscored">JPN!#REF!</definedName>
    <definedName name="jpnpooltriescon">JPN!#REF!</definedName>
    <definedName name="jpnpooltriesscored">JPN!#REF!</definedName>
    <definedName name="jpnpoolwon">JPN!#REF!</definedName>
    <definedName name="jpnred">JPN!#REF!</definedName>
    <definedName name="jpntb">JPN!#REF!</definedName>
    <definedName name="jpntbcon">JPN!#REF!</definedName>
    <definedName name="jpnyellow">JPN!#REF!</definedName>
    <definedName name="leicesterpoconceded">FRA!#REF!</definedName>
    <definedName name="leicesterpolost">FRA!#REF!</definedName>
    <definedName name="leicesterpoplayed">FRA!#REF!</definedName>
    <definedName name="leicesterpored">FRA!#REF!</definedName>
    <definedName name="leicesterposcored">FRA!#REF!</definedName>
    <definedName name="leicesterpotriesconceded">FRA!#REF!</definedName>
    <definedName name="leicesterpotriesscored">FRA!#REF!</definedName>
    <definedName name="leicesterpowon">FRA!#REF!</definedName>
    <definedName name="leicesterpoyellow">FRA!#REF!</definedName>
    <definedName name="leicesterpremred">[2]LEIC!$O$39</definedName>
    <definedName name="leicesterpremseasontotalsdgs">[1]LEIC!$L$37</definedName>
    <definedName name="leicesterpremseasontotalsdrawn">[1]LEIC!$AA$37</definedName>
    <definedName name="leicesterpremseasontotalslost">[1]LEIC!$AB$37</definedName>
    <definedName name="leicesterpremseasontotalsplayed">[1]LEIC!$Y$37</definedName>
    <definedName name="leicesterpremseasontotalsptsagainst">[1]LEIC!$G$37</definedName>
    <definedName name="leicesterpremseasontotalsptsscored">[1]LEIC!$F$37</definedName>
    <definedName name="leicesterpremseasontotalsRC">[1]LEIC!$O$37</definedName>
    <definedName name="leicesterpremseasontotalstriesconceded">[1]LEIC!$R$37</definedName>
    <definedName name="leicesterpremseasontotalstriesscored">[1]LEIC!$J$37</definedName>
    <definedName name="leicesterpremseasontotalswon">[1]LEIC!$Z$37</definedName>
    <definedName name="leicesterpremseasontotalsYC">[1]LEIC!$N$37</definedName>
    <definedName name="leicesterpremtrybonusconccorrect">[1]LEIC!$P$35</definedName>
    <definedName name="leicesterpremtrybonusscored">[1]LEIC!$H$35</definedName>
    <definedName name="leicesterpremyellow">[2]LEIC!$N$39</definedName>
    <definedName name="leicsbonus">FRA!#REF!</definedName>
    <definedName name="leicsconceded">FRA!#REF!</definedName>
    <definedName name="leicsdrawn">FRA!#REF!</definedName>
    <definedName name="leicslosingbonus">FRA!#REF!</definedName>
    <definedName name="leicslosingbonusconceded">FRA!#REF!</definedName>
    <definedName name="leicslost">FRA!#REF!</definedName>
    <definedName name="leicsplayed">FRA!#REF!</definedName>
    <definedName name="leicsred">FRA!#REF!</definedName>
    <definedName name="leicsscored">FRA!#REF!</definedName>
    <definedName name="leicstries">FRA!#REF!</definedName>
    <definedName name="leicstriesconceded">FRA!#REF!</definedName>
    <definedName name="leicstrybonus">FRA!#REF!</definedName>
    <definedName name="leicstrybonusconceded">FRA!#REF!</definedName>
    <definedName name="leicswon">FRA!#REF!</definedName>
    <definedName name="leicsyellow">FRA!#REF!</definedName>
    <definedName name="libonus">CAN!#REF!</definedName>
    <definedName name="liconceded">CAN!#REF!</definedName>
    <definedName name="lidrawn">CAN!#REF!</definedName>
    <definedName name="lilosingbonus">CAN!#REF!</definedName>
    <definedName name="lilosingbonusconceded">CAN!#REF!</definedName>
    <definedName name="lilost">CAN!#REF!</definedName>
    <definedName name="liplayed">CAN!#REF!</definedName>
    <definedName name="lirdgsscored">[1]BRI!$L$36</definedName>
    <definedName name="lired">CAN!#REF!</definedName>
    <definedName name="liscored">CAN!#REF!</definedName>
    <definedName name="litries">CAN!#REF!</definedName>
    <definedName name="litriesconceded">CAN!#REF!</definedName>
    <definedName name="litrybonus">CAN!#REF!</definedName>
    <definedName name="litrybonusconceded">CAN!#REF!</definedName>
    <definedName name="liwon">CAN!#REF!</definedName>
    <definedName name="liyellow">CAN!#REF!</definedName>
    <definedName name="lweagainst">GEO!#REF!</definedName>
    <definedName name="lwedrawn">GEO!#REF!</definedName>
    <definedName name="lwelosingbonus">GEO!#REF!</definedName>
    <definedName name="lwelosingbonusonceded">GEO!#REF!</definedName>
    <definedName name="lwelost">GEO!#REF!</definedName>
    <definedName name="lweplayed">GEO!#REF!</definedName>
    <definedName name="lwered">GEO!#REF!</definedName>
    <definedName name="lwescored">GEO!#REF!</definedName>
    <definedName name="lwetriesconceded">GEO!#REF!</definedName>
    <definedName name="lwetriesscored">GEO!#REF!</definedName>
    <definedName name="lwetrybonus">GEO!#REF!</definedName>
    <definedName name="lwetrybonusconceded">GEO!#REF!</definedName>
    <definedName name="lwewon">GEO!#REF!</definedName>
    <definedName name="lweyellow">GEO!#REF!</definedName>
    <definedName name="Nam2019alltestsdrawn">NAM!$AA$8</definedName>
    <definedName name="Nam2019alltestslost">NAM!$AB$8</definedName>
    <definedName name="Nam2019alltestsplayed">NAM!$Y$8</definedName>
    <definedName name="Nam2019alltestsptscon">NAM!$G$8</definedName>
    <definedName name="Nam2019alltestsptsscored">NAM!$F$8</definedName>
    <definedName name="Nam2019allteststriescon">NAM!$R$8</definedName>
    <definedName name="Nam2019allteststriesscored">NAM!$J$8</definedName>
    <definedName name="Nam2019alltestswon">NAM!$Z$8</definedName>
    <definedName name="Nam2019pooldrawn">NAM!#REF!</definedName>
    <definedName name="Nam2019poollbcon">NAM!#REF!</definedName>
    <definedName name="Nam2019poollbscored">NAM!#REF!</definedName>
    <definedName name="Nam2019poollost">NAM!#REF!</definedName>
    <definedName name="Nam2019poolplayed">NAM!#REF!</definedName>
    <definedName name="Nam2019poolptscon">NAM!#REF!</definedName>
    <definedName name="Nam2019poolptsscored">NAM!#REF!</definedName>
    <definedName name="Nam2019pooltbcon">NAM!#REF!</definedName>
    <definedName name="Nam2019pooltbscored">NAM!#REF!</definedName>
    <definedName name="Nam2019pooltriescon">NAM!#REF!</definedName>
    <definedName name="Nam2019pooltriesscored">NAM!#REF!</definedName>
    <definedName name="Nam2019poolwon">NAM!#REF!</definedName>
    <definedName name="Nam2019RWCdrawn">NAM!#REF!</definedName>
    <definedName name="Nam2019RWClost">NAM!#REF!</definedName>
    <definedName name="Nam2019RWCplayed">NAM!#REF!</definedName>
    <definedName name="Nam2019RWCptsagainst">NAM!#REF!</definedName>
    <definedName name="Nam2019RWCptsscored">NAM!#REF!</definedName>
    <definedName name="Nam2019RWCrc">NAM!#REF!</definedName>
    <definedName name="Nam2019RWCtriescon">NAM!#REF!</definedName>
    <definedName name="Nam2019RWCtriesscored">NAM!#REF!</definedName>
    <definedName name="Nam2019RWCwon">NAM!#REF!</definedName>
    <definedName name="Nam2019RWCyc">NAM!#REF!</definedName>
    <definedName name="Namibiaalltestshistdrawn">Sum!$E$13</definedName>
    <definedName name="Namibiaalltestshistlost">Sum!$D$13</definedName>
    <definedName name="Namibiaalltestshistplayed">Sum!$B$13</definedName>
    <definedName name="Namibiaalltestshistptscon">Sum!$H$13</definedName>
    <definedName name="Namibiaalltestshistptsscored">Sum!$G$13</definedName>
    <definedName name="Namibiaalltestshisttriesscored">Sum!$I$13</definedName>
    <definedName name="Namibiaalltestshistwon">Sum!$C$13</definedName>
    <definedName name="NamibiaRWChistdrawn">Sum!$E$39</definedName>
    <definedName name="NamibiaRWChistlost">Sum!$D$39</definedName>
    <definedName name="NamibiaRWChistplayed">Sum!$B$39</definedName>
    <definedName name="NamibiaRWChistptsagainst">Sum!$H$39</definedName>
    <definedName name="NamibiaRWChistptsscored">Sum!$G$39</definedName>
    <definedName name="NamibiaRWChisttriesscored">Sum!$I$39</definedName>
    <definedName name="NamibiaRWChistwon">Sum!$C$39</definedName>
    <definedName name="namlb">#REF!</definedName>
    <definedName name="namlbcon">#REF!</definedName>
    <definedName name="namoveralldrawn">#REF!</definedName>
    <definedName name="namoveralllost">#REF!</definedName>
    <definedName name="namoverallpld">#REF!</definedName>
    <definedName name="namoverallptsag">#REF!</definedName>
    <definedName name="namoverallptsscored">#REF!</definedName>
    <definedName name="namoveralltriescon">#REF!</definedName>
    <definedName name="namoveralltriesscored">#REF!</definedName>
    <definedName name="namoverallwon">#REF!</definedName>
    <definedName name="nampooldrawn">#REF!</definedName>
    <definedName name="nampoollost">#REF!</definedName>
    <definedName name="nampoolpld">#REF!</definedName>
    <definedName name="nampoolptsag">#REF!</definedName>
    <definedName name="nampoolptsscored">#REF!</definedName>
    <definedName name="nampooltriescon">#REF!</definedName>
    <definedName name="nampooltriesscored">#REF!</definedName>
    <definedName name="nampoolwon">#REF!</definedName>
    <definedName name="namred">#REF!</definedName>
    <definedName name="namtb">#REF!</definedName>
    <definedName name="namtbcon">#REF!</definedName>
    <definedName name="namyellow">#REF!</definedName>
    <definedName name="New_ZealandRWChistdrawn">Sum!$E$40</definedName>
    <definedName name="New_ZealandRWChistlost">Sum!$D$40</definedName>
    <definedName name="New_ZealandRWChistplayed">Sum!$B$40</definedName>
    <definedName name="New_ZealandRWChistptscon">Sum!$G$40</definedName>
    <definedName name="New_ZealandRWChistptsconcorrect">Sum!$H$40</definedName>
    <definedName name="New_ZealandRWChistptsscored">Sum!$G$40</definedName>
    <definedName name="New_ZealandRWChisttriesscored">Sum!$I$40</definedName>
    <definedName name="New_ZealandRWChistwon">Sum!$C$40</definedName>
    <definedName name="newcastlepremred">[2]NEW!$O$37</definedName>
    <definedName name="Newcastlepremtotalsdgs">[1]NEW!$L$38</definedName>
    <definedName name="newcastlepremtotalsdrawn">[1]NEW!$AA$36</definedName>
    <definedName name="Newcastlepremtotalslost">[1]NEW!$AB$38</definedName>
    <definedName name="Newcastlepremtotalsplayed">[1]NEW!$Y$38</definedName>
    <definedName name="Newcastlepremtotalsptsagainst">[1]NEW!$G$38</definedName>
    <definedName name="Newcastlepremtotalsptsscored">[1]NEW!$F$38</definedName>
    <definedName name="Newcastlepremtotalsrc">[1]NEW!$O$38</definedName>
    <definedName name="Newcastlepremtotalstriesconceded">[1]NEW!$R$38</definedName>
    <definedName name="Newcastlepremtotalstriesscored">[1]NEW!$J$38</definedName>
    <definedName name="Newcastlepremtotalswon">[1]NEW!$Z$38</definedName>
    <definedName name="Newcastlepremtotalsyc">[1]NEW!$N$38</definedName>
    <definedName name="newcastlepremtrybonuscocn">[1]NEW!$P$36</definedName>
    <definedName name="newcastlepremtrybonusscored">[1]NEW!$H$36</definedName>
    <definedName name="newcastlepremyellow">[2]NEW!$N$37</definedName>
    <definedName name="newcbonus">IRE!#REF!</definedName>
    <definedName name="newcconceded">IRE!#REF!</definedName>
    <definedName name="newcdrawn">IRE!#REF!</definedName>
    <definedName name="newclosingbonus">IRE!#REF!</definedName>
    <definedName name="newclosingbonusconceded">IRE!#REF!</definedName>
    <definedName name="newclost">IRE!#REF!</definedName>
    <definedName name="newcplayed">IRE!#REF!</definedName>
    <definedName name="newcred">IRE!#REF!</definedName>
    <definedName name="newcscored">IRE!#REF!</definedName>
    <definedName name="newctriesconceded">IRE!#REF!</definedName>
    <definedName name="newctriesscored">IRE!#REF!</definedName>
    <definedName name="newctrybonus">IRE!#REF!</definedName>
    <definedName name="newctrybonusconceded">IRE!#REF!</definedName>
    <definedName name="newcwon">IRE!#REF!</definedName>
    <definedName name="newcyellow">IRE!#REF!</definedName>
    <definedName name="northamptonpremred">[2]NOR!$O$37</definedName>
    <definedName name="northamptonpremseasontotalsdgs">[1]NOR!$L$42</definedName>
    <definedName name="northamptonpremseasontotalsdrawn">[1]NOR!$AA$42</definedName>
    <definedName name="northamptonpremseasontotalslost">[1]NOR!$AB$42</definedName>
    <definedName name="northamptonpremseasontotalsplayed">[1]NOR!$Y$42</definedName>
    <definedName name="northamptonpremseasontotalsptsagainst">[1]NOR!$G$42</definedName>
    <definedName name="northamptonpremseasontotalsptsscored">[1]NOR!$F$42</definedName>
    <definedName name="northamptonpremseasontotalstriesconceded">[1]NOR!$R$42</definedName>
    <definedName name="northamptonpremseasontotalstriesscored">[1]NOR!$J$42</definedName>
    <definedName name="northamptonpremseasontotalswon">[1]NOR!$Z$42</definedName>
    <definedName name="northamptonpremtrybonusconc">[1]NOR!$P$40</definedName>
    <definedName name="northamptonpremtrybonusscored">[1]NOR!$H$40</definedName>
    <definedName name="northamptonpremyellow">[2]NOR!$N$37</definedName>
    <definedName name="Nzl2019alltestsdrawn">NZL!$AA$18</definedName>
    <definedName name="Nzl2019alltestshistdrawn">Sum!$E$14</definedName>
    <definedName name="Nzl2019alltestshistlost">Sum!$D$14</definedName>
    <definedName name="Nzl2019alltestshistplayed">Sum!$B$14</definedName>
    <definedName name="Nzl2019alltestshistptscon">Sum!$H$14</definedName>
    <definedName name="Nzl2019alltestshistptsscored">Sum!$G$14</definedName>
    <definedName name="Nzl2019alltestshisttriesscored">Sum!$I$14</definedName>
    <definedName name="Nzl2019alltestshistwon">Sum!$C$14</definedName>
    <definedName name="Nzl2019alltestslost">NZL!$AB$18</definedName>
    <definedName name="Nzl2019alltestsplayed">NZL!$Y$18</definedName>
    <definedName name="Nzl2019alltestsptscon">NZL!$G$18</definedName>
    <definedName name="Nzl2019alltestsptsscored">NZL!$F$18</definedName>
    <definedName name="Nzl2019allteststriescon">NZL!$R$18</definedName>
    <definedName name="Nzl2019allteststriesscored">NZL!$J$18</definedName>
    <definedName name="Nzl2019alltestswon">NZL!$Z$18</definedName>
    <definedName name="Nzl2019pooldrawn">NZL!#REF!</definedName>
    <definedName name="Nzl2019poollbcon">NZL!#REF!</definedName>
    <definedName name="Nzl2019poollbscored">NZL!#REF!</definedName>
    <definedName name="Nzl2019poollost">NZL!#REF!</definedName>
    <definedName name="Nzl2019poolplayed">NZL!#REF!</definedName>
    <definedName name="Nzl2019poolptscon">NZL!#REF!</definedName>
    <definedName name="Nzl2019poolptsscored">NZL!#REF!</definedName>
    <definedName name="Nzl2019pooltbcon">NZL!#REF!</definedName>
    <definedName name="Nzl2019pooltbscored">NZL!#REF!</definedName>
    <definedName name="Nzl2019pooltriescon">NZL!#REF!</definedName>
    <definedName name="Nzl2019pooltriesscored">NZL!#REF!</definedName>
    <definedName name="Nzl2019poolwon">NZL!#REF!</definedName>
    <definedName name="Nzl2019RWCdrawn">NZL!#REF!</definedName>
    <definedName name="Nzl2019RWClost">NZL!#REF!</definedName>
    <definedName name="Nzl2019RWCplayed">NZL!#REF!</definedName>
    <definedName name="Nzl2019RWCptsscon">NZL!#REF!</definedName>
    <definedName name="Nzl2019RWCptsscored">NZL!#REF!</definedName>
    <definedName name="Nzl2019RWCrc">NZL!#REF!</definedName>
    <definedName name="Nzl2019RWCtriescon">NZL!#REF!</definedName>
    <definedName name="Nzl2019RWCtriesscored">NZL!#REF!</definedName>
    <definedName name="Nzl2019RWCwon">NZL!#REF!</definedName>
    <definedName name="Nzl2019RWCyc">NZL!#REF!</definedName>
    <definedName name="nzllb">NZL!#REF!</definedName>
    <definedName name="nzllbcon">NZL!#REF!</definedName>
    <definedName name="nzloveralldrawn">NZL!#REF!</definedName>
    <definedName name="nzloveralllost">NZL!#REF!</definedName>
    <definedName name="nzloverallpld">NZL!#REF!</definedName>
    <definedName name="nzloverallptsag">NZL!#REF!</definedName>
    <definedName name="nzloverallptsscored">NZL!#REF!</definedName>
    <definedName name="nzloveralltriescon">NZL!#REF!</definedName>
    <definedName name="nzloveralltriesscored">NZL!#REF!</definedName>
    <definedName name="nzloverallwon">NZL!#REF!</definedName>
    <definedName name="nzlpooldrawn">NZL!#REF!</definedName>
    <definedName name="nzlpoollost">NZL!#REF!</definedName>
    <definedName name="nzlpoolpld">NZL!#REF!</definedName>
    <definedName name="nzlpoolptsag">NZL!#REF!</definedName>
    <definedName name="nzlpoolptsscored">NZL!#REF!</definedName>
    <definedName name="nzlpooltriescon">NZL!#REF!</definedName>
    <definedName name="nzlpooltriesscored">NZL!#REF!</definedName>
    <definedName name="nzlpoolwon">NZL!#REF!</definedName>
    <definedName name="nzlred">NZL!#REF!</definedName>
    <definedName name="nzltb">NZL!#REF!</definedName>
    <definedName name="nzltbcon">NZL!#REF!</definedName>
    <definedName name="nzlyellow">NZL!#REF!</definedName>
    <definedName name="quinspoconceded">FIJ!#REF!</definedName>
    <definedName name="quinspolost">FIJ!#REF!</definedName>
    <definedName name="quinspoplayed">FIJ!#REF!</definedName>
    <definedName name="quinspored">FIJ!#REF!</definedName>
    <definedName name="quinsposcored">FIJ!#REF!</definedName>
    <definedName name="quinspotriesconceded">FIJ!#REF!</definedName>
    <definedName name="quinspotriesscored">FIJ!#REF!</definedName>
    <definedName name="quinspowon">FIJ!#REF!</definedName>
    <definedName name="quinspoyellow">FIJ!#REF!</definedName>
    <definedName name="romaniaalltestsdrawn">ROM!$AA$16</definedName>
    <definedName name="romaniaalltestslost">ROM!$AB$16</definedName>
    <definedName name="romaniaalltestsplayed">ROM!$Y$16</definedName>
    <definedName name="romaniaalltestsptsagainst">ROM!$G$16</definedName>
    <definedName name="romaniaalltestsptsscored">ROM!$F$16</definedName>
    <definedName name="romaniaallteststriesagaiant">ROM!$R$16</definedName>
    <definedName name="romaniaallteststriesscored">ROM!$J$16</definedName>
    <definedName name="romaniaalltestswon">ROM!$Z$16</definedName>
    <definedName name="romlb">ROM!#REF!</definedName>
    <definedName name="romlbcon">ROM!#REF!</definedName>
    <definedName name="romoveralldrawn">ROM!#REF!</definedName>
    <definedName name="romoveralllost">ROM!#REF!</definedName>
    <definedName name="romoverallpld">ROM!#REF!</definedName>
    <definedName name="romoverallptsag">ROM!#REF!</definedName>
    <definedName name="romoverallptsscored">ROM!#REF!</definedName>
    <definedName name="romoveralltriescon">ROM!#REF!</definedName>
    <definedName name="romoveralltriesscored">ROM!#REF!</definedName>
    <definedName name="romoverallwon">ROM!#REF!</definedName>
    <definedName name="rompooldrawn">ROM!#REF!</definedName>
    <definedName name="rompoollost">ROM!#REF!</definedName>
    <definedName name="rompoolpld">ROM!#REF!</definedName>
    <definedName name="rompoolptsag">ROM!#REF!</definedName>
    <definedName name="rompoolptsscored">ROM!#REF!</definedName>
    <definedName name="rompooltriescon">ROM!#REF!</definedName>
    <definedName name="rompooltriesscored">ROM!#REF!</definedName>
    <definedName name="rompoolwon">ROM!#REF!</definedName>
    <definedName name="romred">ROM!#REF!</definedName>
    <definedName name="romtb">ROM!#REF!</definedName>
    <definedName name="romtbcon">ROM!#REF!</definedName>
    <definedName name="romyellow">ROM!#REF!</definedName>
    <definedName name="Rsa2019alltestsdrawn">RSA!$AA$18</definedName>
    <definedName name="Rsa2019alltestslost">RSA!$AB$18</definedName>
    <definedName name="Rsa2019alltestsplayed">RSA!$Y$18</definedName>
    <definedName name="Rsa2019alltestsptscon">RSA!$G$18</definedName>
    <definedName name="Rsa2019alltestsptsscored">RSA!$F$18</definedName>
    <definedName name="Rsa2019allteststriescon">RSA!$R$18</definedName>
    <definedName name="Rsa2019allteststriesscored">RSA!$J$18</definedName>
    <definedName name="Rsa2019alltestswon">RSA!$Z$18</definedName>
    <definedName name="Rsa2019pooldrawn">RSA!#REF!</definedName>
    <definedName name="Rsa2019poollbcon">RSA!#REF!</definedName>
    <definedName name="Rsa2019poollbscored">RSA!#REF!</definedName>
    <definedName name="Rsa2019poollost">RSA!#REF!</definedName>
    <definedName name="Rsa2019poolplayed">RSA!#REF!</definedName>
    <definedName name="Rsa2019poolptscon">RSA!#REF!</definedName>
    <definedName name="Rsa2019poolptsscored">RSA!#REF!</definedName>
    <definedName name="Rsa2019pooltbcon">RSA!#REF!</definedName>
    <definedName name="Rsa2019pooltbscored">RSA!#REF!</definedName>
    <definedName name="Rsa2019pooltriescon">RSA!#REF!</definedName>
    <definedName name="Rsa2019pooltriesscored">RSA!#REF!</definedName>
    <definedName name="Rsa2019poolwon">RSA!#REF!</definedName>
    <definedName name="Rsa2019RWCdrawn">RSA!#REF!</definedName>
    <definedName name="Rsa2019RWClost">RSA!#REF!</definedName>
    <definedName name="Rsa2019RWCplayed">RSA!#REF!</definedName>
    <definedName name="Rsa2019RWCptscon">RSA!#REF!</definedName>
    <definedName name="Rsa2019RWCptsscored">RSA!#REF!</definedName>
    <definedName name="Rsa2019RWCrc">RSA!#REF!</definedName>
    <definedName name="Rsa2019RWCtriescon">RSA!#REF!</definedName>
    <definedName name="Rsa2019RWCtriesscored">RSA!#REF!</definedName>
    <definedName name="Rsa2019RWCwon">RSA!#REF!</definedName>
    <definedName name="Rsa2019RWCyc">RSA!#REF!</definedName>
    <definedName name="Rsaalltestshistdrawn">Sum!$E$19</definedName>
    <definedName name="Rsaalltestshistlost">Sum!$D$19</definedName>
    <definedName name="Rsaalltestshistplayed">Sum!$B$19</definedName>
    <definedName name="Rsaalltestshistptscon">Sum!$H$19</definedName>
    <definedName name="Rsaalltestshistptsscored">Sum!$G$19</definedName>
    <definedName name="Rsaalltestshisttriesscored">Sum!$I$19</definedName>
    <definedName name="Rsaalltestshistwon">Sum!$C$19</definedName>
    <definedName name="rsalb">RSA!#REF!</definedName>
    <definedName name="rsalbcon">RSA!#REF!</definedName>
    <definedName name="rsaoveralldrawn">RSA!#REF!</definedName>
    <definedName name="rsaoveralllost">RSA!#REF!</definedName>
    <definedName name="rsaoverallpld">RSA!#REF!</definedName>
    <definedName name="rsaoverallptsag">RSA!#REF!</definedName>
    <definedName name="rsaoverallptsscored">RSA!#REF!</definedName>
    <definedName name="rsaoveralltriescon">RSA!#REF!</definedName>
    <definedName name="rsaoveralltriesscored">RSA!#REF!</definedName>
    <definedName name="rsaoverallwon">RSA!#REF!</definedName>
    <definedName name="rsapooldrawn">RSA!#REF!</definedName>
    <definedName name="rsapoollost">RSA!#REF!</definedName>
    <definedName name="rsapoolpld">RSA!#REF!</definedName>
    <definedName name="rsapoolptsag">RSA!#REF!</definedName>
    <definedName name="rsapoolptsscored">RSA!#REF!</definedName>
    <definedName name="rsapooltriescon">RSA!#REF!</definedName>
    <definedName name="rsapooltriesscored">RSA!#REF!</definedName>
    <definedName name="rsapoolwon">RSA!#REF!</definedName>
    <definedName name="rsared">RSA!#REF!</definedName>
    <definedName name="RsaRWChistdrawn">Sum!$E$46</definedName>
    <definedName name="RsaRWChistlost">Sum!$D$46</definedName>
    <definedName name="RsaRWChistplayed">Sum!$B$46</definedName>
    <definedName name="RsaRWChistptscon">Sum!$H$46</definedName>
    <definedName name="RsaRWChistptsscored">Sum!$G$46</definedName>
    <definedName name="RsaRWChisttriesscored">Sum!$I$46</definedName>
    <definedName name="RsaRWChistwon">Sum!$C$46</definedName>
    <definedName name="rsatb">RSA!#REF!</definedName>
    <definedName name="rsatbcon">RSA!#REF!</definedName>
    <definedName name="rsayellow">RSA!#REF!</definedName>
    <definedName name="Rus2019alltestsdrawn">RUS!$AA$10</definedName>
    <definedName name="Rus2019alltestslost">RUS!$AB$10</definedName>
    <definedName name="Rus2019alltestsplayed">RUS!$Y$10</definedName>
    <definedName name="Rus2019alltestsptscon">RUS!$G$10</definedName>
    <definedName name="Rus2019alltestsptsscored">RUS!$F$10</definedName>
    <definedName name="Rus2019allteststriescon">RUS!$R$10</definedName>
    <definedName name="Rus2019allteststriescored">RUS!$J$10</definedName>
    <definedName name="Rus2019alltestswon">RUS!$Z$10</definedName>
    <definedName name="Rus2019pooldrawn">RUS!#REF!</definedName>
    <definedName name="Rus2019poollbcon">RUS!#REF!</definedName>
    <definedName name="Rus2019poollbscored">RUS!#REF!</definedName>
    <definedName name="Rus2019poollost">RUS!#REF!</definedName>
    <definedName name="Rus2019poolplayed">RUS!#REF!</definedName>
    <definedName name="Rus2019poolplayedcorrect">RUS!#REF!</definedName>
    <definedName name="Rus2019poolptscon">RUS!#REF!</definedName>
    <definedName name="Rus2019poolptsscored">RUS!#REF!</definedName>
    <definedName name="Rus2019pooltbcon">RUS!#REF!</definedName>
    <definedName name="Rus2019pooltbscored">RUS!#REF!</definedName>
    <definedName name="Rus2019pooltriescon">RUS!#REF!</definedName>
    <definedName name="Rus2019pooltriesscored">RUS!#REF!</definedName>
    <definedName name="Rus2019poolwon">RUS!#REF!</definedName>
    <definedName name="Rus2019poolwoncorrect">RUS!#REF!</definedName>
    <definedName name="Rus2019RWCdrawn">RUS!#REF!</definedName>
    <definedName name="Rus2019RWClost">RUS!#REF!</definedName>
    <definedName name="Rus2019RWCplayed">RUS!#REF!</definedName>
    <definedName name="Rus2019RWCptscon">RUS!#REF!</definedName>
    <definedName name="Rus2019RWCptsscored">RUS!#REF!</definedName>
    <definedName name="Rus2019RWCrc">RUS!#REF!</definedName>
    <definedName name="Rus2019RWCtriescon">RUS!#REF!</definedName>
    <definedName name="Rus2019RWCtriesscored">RUS!#REF!</definedName>
    <definedName name="Rus2019RWCwon">RUS!#REF!</definedName>
    <definedName name="Rus2019RWCyc">RUS!#REF!</definedName>
    <definedName name="Russiaalltestshistdrawn">Sum!$E$16</definedName>
    <definedName name="Russiaalltestshistlost">Sum!$D$16</definedName>
    <definedName name="Russiaalltestshistplayed">Sum!$B$16</definedName>
    <definedName name="Russiaalltestshistptsagainst">Sum!$H$16</definedName>
    <definedName name="Russiaalltestshistptsscored">Sum!$G$16</definedName>
    <definedName name="Russiaalltestshisttriesscored">Sum!$I$16</definedName>
    <definedName name="Russiaalltestshistwon">Sum!$C$16</definedName>
    <definedName name="RussiaRWChistdrawn">Sum!$E$43</definedName>
    <definedName name="RussiaRWChistlost">Sum!$D$43</definedName>
    <definedName name="RussiaRWChistplayed">Sum!$B$43</definedName>
    <definedName name="RussiaRWChistptscon">Sum!$H$43</definedName>
    <definedName name="RussiaRWChistptsscored">Sum!$G$43</definedName>
    <definedName name="RussiaRWChisttriesscored">Sum!$I$43</definedName>
    <definedName name="RussiaRWChistwon">Sum!$C$43</definedName>
    <definedName name="RWC2019startarg">ARG!#REF!</definedName>
    <definedName name="RWC2019startaus">AUS!$Y$8</definedName>
    <definedName name="RWC2019startcan">CAN!#REF!</definedName>
    <definedName name="RWC2019starteng">ENG!#REF!</definedName>
    <definedName name="RWC2019startfij">FIJ!#REF!</definedName>
    <definedName name="RWC2019startfra">FRA!#REF!</definedName>
    <definedName name="RWC2019startgeo">GEO!#REF!</definedName>
    <definedName name="RWC2019startire">IRE!#REF!</definedName>
    <definedName name="RWC2019startita">ITA!#REF!</definedName>
    <definedName name="RWC2019startjpn">JPN!#REF!</definedName>
    <definedName name="RWC2019startnam">NAM!$Y$5</definedName>
    <definedName name="RWC2019startnzl">NZL!$Y$8</definedName>
    <definedName name="RWC2019startrsa">RSA!$Y$8</definedName>
    <definedName name="RWC2019startrus">RUS!#REF!</definedName>
    <definedName name="RWC2019startsam">SAM!#REF!</definedName>
    <definedName name="RWC2019startsco">SCO!$Y$14</definedName>
    <definedName name="RWCstartton">TGA!#REF!</definedName>
    <definedName name="RWCstartUru">URU!#REF!</definedName>
    <definedName name="RWCstartUSA">USA!#REF!</definedName>
    <definedName name="RWCstartwal">WAL!#REF!</definedName>
    <definedName name="sainstpotriesconcededcorrect">ITA!#REF!</definedName>
    <definedName name="sainstpowon">ITA!#REF!</definedName>
    <definedName name="saintsbonus">ITA!#REF!</definedName>
    <definedName name="saintsconceded">ITA!#REF!</definedName>
    <definedName name="saintsdrawn">ITA!#REF!</definedName>
    <definedName name="saintslosingbonus">ITA!#REF!</definedName>
    <definedName name="saintslosingbonusconceded">ITA!#REF!</definedName>
    <definedName name="saintslost">ITA!#REF!</definedName>
    <definedName name="saintsplayed">ITA!#REF!</definedName>
    <definedName name="saintspoconceded">ITA!#REF!</definedName>
    <definedName name="saintspodrawn">ITA!#REF!</definedName>
    <definedName name="saintspolost">ITA!#REF!</definedName>
    <definedName name="saintspoplayed">ITA!#REF!</definedName>
    <definedName name="saintspored">ITA!#REF!</definedName>
    <definedName name="saintsposcored">ITA!#REF!</definedName>
    <definedName name="saintspotriesconceded">ITA!#REF!</definedName>
    <definedName name="saintspotriesscored">ITA!#REF!</definedName>
    <definedName name="Saintspoyellow">ITA!#REF!</definedName>
    <definedName name="saintsred">ITA!#REF!</definedName>
    <definedName name="saintsscored">ITA!#REF!</definedName>
    <definedName name="saintstriesconceded">ITA!#REF!</definedName>
    <definedName name="saintstriesscored">ITA!#REF!</definedName>
    <definedName name="saintstrybonus">ITA!#REF!</definedName>
    <definedName name="saintstrybonusconceded">ITA!#REF!</definedName>
    <definedName name="saintswon">ITA!#REF!</definedName>
    <definedName name="saintsyellow">ITA!#REF!</definedName>
    <definedName name="salebonus">JPN!#REF!</definedName>
    <definedName name="saleconceded">JPN!#REF!</definedName>
    <definedName name="saledrawn">JPN!#REF!</definedName>
    <definedName name="salelosingbonus">JPN!#REF!</definedName>
    <definedName name="salelosingbonusconceded">JPN!#REF!</definedName>
    <definedName name="salelost">JPN!#REF!</definedName>
    <definedName name="saleplayed">JPN!#REF!</definedName>
    <definedName name="salepremptsdagainst">[1]SAL!$G$37</definedName>
    <definedName name="salepremptsscored">[1]SAL!$F$37</definedName>
    <definedName name="salepremred">[2]SAL!$O$39</definedName>
    <definedName name="salepremseasontotalsdgs">[1]SAL!$L$39</definedName>
    <definedName name="salepremseasontotalsdrawn">[1]SAL!$AA$39</definedName>
    <definedName name="salepremseasontotalslost">[1]SAL!$AB$39</definedName>
    <definedName name="salepremseasontotalsplayed">[1]SAL!$Y$39</definedName>
    <definedName name="salepremseasontotalsRC">[1]SAL!$O$39</definedName>
    <definedName name="salepremseasontotalstriesconceded">[1]SAL!$R$39</definedName>
    <definedName name="salepremseasontotalstriesscored">[1]SAL!$J$39</definedName>
    <definedName name="salepremseasontotalswon">[1]SAL!$Z$39</definedName>
    <definedName name="salepremseasontotalsYC">[1]SAL!$N$39</definedName>
    <definedName name="salepremtrybonusconc">[1]SAL!$P$37</definedName>
    <definedName name="salepremtrybonusscored">[1]SAL!$H$37</definedName>
    <definedName name="salepremyellow">[2]SAL!$N$39</definedName>
    <definedName name="salered">JPN!#REF!</definedName>
    <definedName name="salescored">JPN!#REF!</definedName>
    <definedName name="saletriesconceded">JPN!#REF!</definedName>
    <definedName name="saletriesscored">JPN!#REF!</definedName>
    <definedName name="saletrybonus">JPN!#REF!</definedName>
    <definedName name="saletrybonusconceded">JPN!#REF!</definedName>
    <definedName name="salewon">JPN!#REF!</definedName>
    <definedName name="saleyellow">JPN!#REF!</definedName>
    <definedName name="Sam2019alltestsdrawn">SAM!$AA$10</definedName>
    <definedName name="Sam2019alltestslost">SAM!$AB$10</definedName>
    <definedName name="Sam2019alltestsplayed">SAM!$Y$10</definedName>
    <definedName name="Sam2019alltestsptscon">SAM!$G$10</definedName>
    <definedName name="Sam2019alltestsptsscored">SAM!$F$10</definedName>
    <definedName name="Sam2019allteststriescon">SAM!$R$10</definedName>
    <definedName name="Sam2019allteststriescored">SAM!$J$10</definedName>
    <definedName name="Sam2019alltestswon">SAM!$Z$10</definedName>
    <definedName name="Sam2019pooldrawn">SAM!#REF!</definedName>
    <definedName name="Sam2019poollbcon">SAM!#REF!</definedName>
    <definedName name="Sam2019poollbscored">SAM!#REF!</definedName>
    <definedName name="Sam2019poollost">SAM!#REF!</definedName>
    <definedName name="Sam2019poolplayed">SAM!#REF!</definedName>
    <definedName name="Sam2019poolptscon">SAM!#REF!</definedName>
    <definedName name="Sam2019poolptsscored">SAM!#REF!</definedName>
    <definedName name="Sam2019pooltbcon">SAM!#REF!</definedName>
    <definedName name="Sam2019pooltbscored">SAM!#REF!</definedName>
    <definedName name="Sam2019pooltriescon">SAM!#REF!</definedName>
    <definedName name="Sam2019pooltriesscored">SAM!#REF!</definedName>
    <definedName name="Sam2019poolwon">SAM!#REF!</definedName>
    <definedName name="Sam2019RWCdrawn">SAM!#REF!</definedName>
    <definedName name="Sam2019RWClost">SAM!#REF!</definedName>
    <definedName name="Sam2019RWCplayed">SAM!#REF!</definedName>
    <definedName name="Sam2019RWCptscon">SAM!#REF!</definedName>
    <definedName name="Sam2019RWCptsscored">SAM!#REF!</definedName>
    <definedName name="SAM2019rwcRC">SAM!#REF!</definedName>
    <definedName name="Sam2019RWCtriescon">SAM!#REF!</definedName>
    <definedName name="Sam2019RWCtriescored">SAM!#REF!</definedName>
    <definedName name="Sam2019RWCwon">SAM!#REF!</definedName>
    <definedName name="Sam2019RWCyc">SAM!#REF!</definedName>
    <definedName name="Samalltestshistdrawn">Sum!$E$17</definedName>
    <definedName name="Samalltestshistlost">Sum!$D$17</definedName>
    <definedName name="Samalltestshistplayed">Sum!$B$17</definedName>
    <definedName name="Samalltestshistptscon">Sum!$H$17</definedName>
    <definedName name="Samalltestshistptsscored">Sum!$G$17</definedName>
    <definedName name="SamalltestshistTRIESSCORED">Sum!$I$17</definedName>
    <definedName name="Samalltestshistwon">Sum!$C$17</definedName>
    <definedName name="samlb">SAM!#REF!</definedName>
    <definedName name="samlbcon">SAM!#REF!</definedName>
    <definedName name="samoveralldrawn">SAM!#REF!</definedName>
    <definedName name="samoveralllost">SAM!#REF!</definedName>
    <definedName name="samoverallpld">SAM!#REF!</definedName>
    <definedName name="samoverallptsag">SAM!#REF!</definedName>
    <definedName name="samoverallptsscored">SAM!#REF!</definedName>
    <definedName name="samoveralltriescon">SAM!#REF!</definedName>
    <definedName name="samoveralltriesscored">SAM!#REF!</definedName>
    <definedName name="samoverallwon">SAM!#REF!</definedName>
    <definedName name="sampooldrawn">SAM!#REF!</definedName>
    <definedName name="sampoollost">SAM!#REF!</definedName>
    <definedName name="sampoolpld">SAM!#REF!</definedName>
    <definedName name="sampoolptsag">SAM!#REF!</definedName>
    <definedName name="sampoolptsscored">SAM!#REF!</definedName>
    <definedName name="sampooltriescon">SAM!#REF!</definedName>
    <definedName name="sampooltriesscored">SAM!#REF!</definedName>
    <definedName name="sampoolwon">SAM!#REF!</definedName>
    <definedName name="samred">SAM!#REF!</definedName>
    <definedName name="SamRWChistdrawn">Sum!$E$44</definedName>
    <definedName name="SamRWChistlost">Sum!$D$44</definedName>
    <definedName name="SamRWChistplayed">Sum!$B$44</definedName>
    <definedName name="SamRWChistptscon">Sum!$H$44</definedName>
    <definedName name="SamRWChistptsscored">Sum!$G$44</definedName>
    <definedName name="SamRWChisttriesscored">Sum!$I$44</definedName>
    <definedName name="SamRWChistwon">Sum!$C$44</definedName>
    <definedName name="samtb">SAM!#REF!</definedName>
    <definedName name="samtbcon">SAM!#REF!</definedName>
    <definedName name="samyellow">SAM!#REF!</definedName>
    <definedName name="saracenspoconceded">#REF!</definedName>
    <definedName name="saracenspolost">#REF!</definedName>
    <definedName name="saracenspoplayed">#REF!</definedName>
    <definedName name="saracenspored">#REF!</definedName>
    <definedName name="saracensposcored">#REF!</definedName>
    <definedName name="saracenspotriesconceded">#REF!</definedName>
    <definedName name="saracenspotriesscored">#REF!</definedName>
    <definedName name="saracenspowon">#REF!</definedName>
    <definedName name="saracenspoyellow">#REF!</definedName>
    <definedName name="saracenspremred">[2]SAR!$O$42</definedName>
    <definedName name="saracenspremtotalsdrawn">[1]SAR!$AA$44</definedName>
    <definedName name="saracenspremtrybonusconc">[1]SAR!$P$42</definedName>
    <definedName name="saracenspremtrybonusscored">[1]SAR!$H$42</definedName>
    <definedName name="saracenspremyellow">[2]SAR!$N$42</definedName>
    <definedName name="Sarpremtotalsdgs">[1]SAR!$L$44</definedName>
    <definedName name="Sarpremtotalslost">[1]SAR!$AB$44</definedName>
    <definedName name="Sarpremtotalsplayed">[1]SAR!$Y$44</definedName>
    <definedName name="Sarpremtotalsptsagainst">[1]SAR!$G$44</definedName>
    <definedName name="Sarpremtotalsptsscored">[1]SAR!$F$44</definedName>
    <definedName name="Sarpremtotalsrc">[1]SAR!$O$44</definedName>
    <definedName name="Sarpremtotalstriesconceded">[1]SAR!$R$44</definedName>
    <definedName name="Sarpremtotalstriesscored">[1]SAR!$J$44</definedName>
    <definedName name="Sarpremtotalswon">[1]SAR!$Z$44</definedName>
    <definedName name="Sarpremtotalsyc">[1]SAR!$N$44</definedName>
    <definedName name="sarriesbonus">#REF!</definedName>
    <definedName name="sarriesconceded">#REF!</definedName>
    <definedName name="sarriesdrawn">#REF!</definedName>
    <definedName name="sarrieslosingbonus">#REF!</definedName>
    <definedName name="sarrieslosingbonusconceded">#REF!</definedName>
    <definedName name="sarrieslost">#REF!</definedName>
    <definedName name="sarriesplayed">#REF!</definedName>
    <definedName name="sarriesred">#REF!</definedName>
    <definedName name="sarriesscored">#REF!</definedName>
    <definedName name="sarriestriesconceded">#REF!</definedName>
    <definedName name="sarriestriesscored">#REF!</definedName>
    <definedName name="sarriestrybonus">#REF!</definedName>
    <definedName name="sarriestrybonusconceded">#REF!</definedName>
    <definedName name="sarrieswon">#REF!</definedName>
    <definedName name="sarriesyellow">#REF!</definedName>
    <definedName name="Sco2019alltestsdrawn">SCO!$AA$17</definedName>
    <definedName name="Sco2019alltestslost">SCO!$AB$17</definedName>
    <definedName name="Sco2019alltestsplayed">SCO!$Y$17</definedName>
    <definedName name="Sco2019alltestsptsagainst">SCO!$G$17</definedName>
    <definedName name="Sco2019alltestsptsscored">SCO!$F$17</definedName>
    <definedName name="Sco2019allteststriescon">SCO!$R$17</definedName>
    <definedName name="Sco2019allteststriesscored">SCO!$J$17</definedName>
    <definedName name="Sco2019alltestswon">SCO!$Z$17</definedName>
    <definedName name="Sco2019pooldrawn">SCO!#REF!</definedName>
    <definedName name="Sco2019poollbcon">SCO!#REF!</definedName>
    <definedName name="Sco2019poollbscored">SCO!#REF!</definedName>
    <definedName name="sco2019poollost">SCO!#REF!</definedName>
    <definedName name="Sco2019poolplayed">SCO!#REF!</definedName>
    <definedName name="Sco2019poolptsagainst">SCO!#REF!</definedName>
    <definedName name="Sco2019poolptsscored">SCO!#REF!</definedName>
    <definedName name="Sco2019pooltbcon">SCO!#REF!</definedName>
    <definedName name="Sco2019pooltbscored">SCO!#REF!</definedName>
    <definedName name="Sco2019pooltriescon">SCO!#REF!</definedName>
    <definedName name="Sco2019pooltriesscored">SCO!#REF!</definedName>
    <definedName name="Sco2019poolwon">SCO!#REF!</definedName>
    <definedName name="Sco2019RWCdrawn">SCO!#REF!</definedName>
    <definedName name="Sco2019RWClost">SCO!#REF!</definedName>
    <definedName name="Sco2019RWCplayed">SCO!#REF!</definedName>
    <definedName name="Sco2019RWCptscon">SCO!#REF!</definedName>
    <definedName name="Sco2019RWCptsscored">SCO!#REF!</definedName>
    <definedName name="Sco2019RWCrc">SCO!#REF!</definedName>
    <definedName name="Sco2019RWCtriescon">SCO!#REF!</definedName>
    <definedName name="Sco2019RWCtriesscored">SCO!#REF!</definedName>
    <definedName name="Sco2019RWCwon">SCO!#REF!</definedName>
    <definedName name="Sco2019RWCyc">SCO!#REF!</definedName>
    <definedName name="scolb">SCO!#REF!</definedName>
    <definedName name="scolbcon">SCO!#REF!</definedName>
    <definedName name="scooveralldrawn">SCO!#REF!</definedName>
    <definedName name="scooveralllost">SCO!#REF!</definedName>
    <definedName name="scooverallpld">SCO!#REF!</definedName>
    <definedName name="scooverallptsag">SCO!#REF!</definedName>
    <definedName name="scooverallptsscored">SCO!#REF!</definedName>
    <definedName name="scooveralltriescon">SCO!#REF!</definedName>
    <definedName name="scooveralltriesscored">SCO!#REF!</definedName>
    <definedName name="scooverallwon">SCO!#REF!</definedName>
    <definedName name="scopooldrawn">SCO!#REF!</definedName>
    <definedName name="scopoollost">SCO!#REF!</definedName>
    <definedName name="scopoolpld">SCO!#REF!</definedName>
    <definedName name="scopoolptsag">SCO!#REF!</definedName>
    <definedName name="scopoolptsscored">SCO!#REF!</definedName>
    <definedName name="scopooltriescon">SCO!#REF!</definedName>
    <definedName name="scopooltriesscored">SCO!#REF!</definedName>
    <definedName name="scopoolwon">SCO!#REF!</definedName>
    <definedName name="scored">SCO!#REF!</definedName>
    <definedName name="scotb">SCO!#REF!</definedName>
    <definedName name="scotbcon">SCO!#REF!</definedName>
    <definedName name="Scotlandalltestshistdrawn">Sum!$E$18</definedName>
    <definedName name="Scotlandalltestshistlost">Sum!$D$18</definedName>
    <definedName name="Scotlandalltestshistplayed">Sum!$B$18</definedName>
    <definedName name="Scotlandalltestshistptscon">Sum!$H$18</definedName>
    <definedName name="Scotlandalltestshistptsscored">Sum!$G$18</definedName>
    <definedName name="Scotlandalltestshisttriesscored">Sum!$I$18</definedName>
    <definedName name="Scotlandalltestshistwon">Sum!$C$18</definedName>
    <definedName name="Scotlanddrawn">SCO!$AA$15</definedName>
    <definedName name="Scotlandlosingbonus">SCO!$I$15</definedName>
    <definedName name="Scotlandlost">SCO!$AB$15</definedName>
    <definedName name="Scotlandplayed">SCO!$Y$15</definedName>
    <definedName name="Scotlandptsagainst">SCO!$G$15</definedName>
    <definedName name="Scotlandptsscored">SCO!$F$15</definedName>
    <definedName name="Scotlandred">SCO!$O$15</definedName>
    <definedName name="ScotlandRWChistdrawn">Sum!$E$45</definedName>
    <definedName name="ScotlandRWChistlost">Sum!$D$45</definedName>
    <definedName name="ScotlandRWChistplayed">Sum!$B$45</definedName>
    <definedName name="ScotlandRWChistptscon">Sum!$H$45</definedName>
    <definedName name="ScotlandRWChistptsscored">Sum!$G$45</definedName>
    <definedName name="ScotlandRWChisttriesscored">Sum!$I$45</definedName>
    <definedName name="ScotlandRWChistwon">Sum!$C$45</definedName>
    <definedName name="Scotlandtriesagainst">SCO!$R$15</definedName>
    <definedName name="Scotlandtriesscored">SCO!$J$15</definedName>
    <definedName name="Scotlandtrybonus">SCO!$H$15</definedName>
    <definedName name="Scotlandwon">SCO!$Z$15</definedName>
    <definedName name="Scotlandyellow">SCO!$N$15</definedName>
    <definedName name="scoyellow">SCO!#REF!</definedName>
    <definedName name="tgalb">TGA!#REF!</definedName>
    <definedName name="tgalbcon">TGA!#REF!</definedName>
    <definedName name="tgaoveralldrawn">TGA!#REF!</definedName>
    <definedName name="tgaoveralllost">TGA!#REF!</definedName>
    <definedName name="tgaoverallpld">TGA!#REF!</definedName>
    <definedName name="tgaoverallptsag">TGA!#REF!</definedName>
    <definedName name="tgaoverallptsscored">TGA!#REF!</definedName>
    <definedName name="tgaoveralltriescon">TGA!#REF!</definedName>
    <definedName name="tgaoveralltriesscored">TGA!#REF!</definedName>
    <definedName name="tgaoveralltriesscoredcorr">TGA!#REF!</definedName>
    <definedName name="tgaoverallwon">TGA!#REF!</definedName>
    <definedName name="tgaovralltriesscoredcorrect">TGA!#REF!</definedName>
    <definedName name="tgapooldrawn">TGA!#REF!</definedName>
    <definedName name="tgapoollost">TGA!#REF!</definedName>
    <definedName name="tgapoolpld">TGA!#REF!</definedName>
    <definedName name="tgapoolptsag">TGA!#REF!</definedName>
    <definedName name="tgapoolptsscored">TGA!#REF!</definedName>
    <definedName name="tgapooltriescon">TGA!#REF!</definedName>
    <definedName name="tgapooltriesscored">TGA!#REF!</definedName>
    <definedName name="tgapoolwon">TGA!#REF!</definedName>
    <definedName name="tgared">TGA!#REF!</definedName>
    <definedName name="tgatb">TGA!#REF!</definedName>
    <definedName name="tgatbcon">TGA!#REF!</definedName>
    <definedName name="tgayellow">TGA!#REF!</definedName>
    <definedName name="Ton2019alltestsdrawn">TGA!$AA$11</definedName>
    <definedName name="Ton2019alltestslost">TGA!$AB$11</definedName>
    <definedName name="Ton2019alltestsplayed">TGA!$Y$11</definedName>
    <definedName name="Ton2019alltestsptscon">TGA!$G$11</definedName>
    <definedName name="Ton2019alltestsptsscored">TGA!$F$11</definedName>
    <definedName name="Ton2019allteststriescon">TGA!$R$11</definedName>
    <definedName name="Ton2019allteststriesscored">TGA!$J$11</definedName>
    <definedName name="Ton2019alltestswon">TGA!$Z$11</definedName>
    <definedName name="Ton2019pooldrawn">TGA!#REF!</definedName>
    <definedName name="Ton2019poollbcon">TGA!#REF!</definedName>
    <definedName name="Ton2019poollbscored">TGA!#REF!</definedName>
    <definedName name="Ton2019poollost">TGA!#REF!</definedName>
    <definedName name="Ton2019poolplayed">TGA!#REF!</definedName>
    <definedName name="Ton2019poolplayedcorrect">TGA!#REF!</definedName>
    <definedName name="Ton2019poolptscon">TGA!#REF!</definedName>
    <definedName name="Ton2019poolptsscored">TGA!#REF!</definedName>
    <definedName name="Ton2019poolrtbcon">TGA!#REF!</definedName>
    <definedName name="Ton2019pooltbscored">TGA!#REF!</definedName>
    <definedName name="Ton2019pooltriescon">TGA!#REF!</definedName>
    <definedName name="Ton2019pooltriesscored">TGA!#REF!</definedName>
    <definedName name="Ton2019poolwon">TGA!#REF!</definedName>
    <definedName name="Ton2019RWCdrawn">TGA!#REF!</definedName>
    <definedName name="Ton2019RWClost">TGA!#REF!</definedName>
    <definedName name="Ton2019RWCplayed">TGA!#REF!</definedName>
    <definedName name="Ton2019RWCptscon">TGA!#REF!</definedName>
    <definedName name="Ton2019RWCptsscored">TGA!#REF!</definedName>
    <definedName name="Ton2019RWCrc">TGA!#REF!</definedName>
    <definedName name="Ton2019RWCtriescon">TGA!#REF!</definedName>
    <definedName name="Ton2019RWCtriesscored">TGA!#REF!</definedName>
    <definedName name="Ton2019RWCwon">TGA!#REF!</definedName>
    <definedName name="Ton2019RWCyc">TGA!#REF!</definedName>
    <definedName name="Tongaalltestshistdrawn">Sum!$E$20</definedName>
    <definedName name="Tongaalltestshistlost">Sum!$D$20</definedName>
    <definedName name="Tongaalltestshistplayed">Sum!$B$20</definedName>
    <definedName name="Tongaalltestshistptsagainst">Sum!$H$20</definedName>
    <definedName name="Tongaalltestshistptsscored">Sum!$G$20</definedName>
    <definedName name="Tongaalltestshisttriesscored">Sum!$I$20</definedName>
    <definedName name="Tongaalltestshistwon">Sum!$C$20</definedName>
    <definedName name="TongaRWChistdrawn">Sum!$E$48</definedName>
    <definedName name="TongaRWChistlost">Sum!$D$48</definedName>
    <definedName name="TongaRWChistplayed">Sum!$B$48</definedName>
    <definedName name="TongaRWChistptscon">Sum!$H$48</definedName>
    <definedName name="TongaRWChistptsscored">Sum!$G$48</definedName>
    <definedName name="TongaRWChisttriesscored">Sum!$I$48</definedName>
    <definedName name="TongaRWChistwon">Sum!$C$48</definedName>
    <definedName name="triesscored">ENG!#REF!</definedName>
    <definedName name="United_Statesalltestshistdrawn">Sum!$E$21</definedName>
    <definedName name="United_Statesalltestshistlost">Sum!$D$21</definedName>
    <definedName name="United_Statesalltestshistplayed">Sum!$B$21</definedName>
    <definedName name="United_Statesalltestshistptscon">Sum!$H$21</definedName>
    <definedName name="United_Statesalltestshistptsscored">Sum!$G$21</definedName>
    <definedName name="United_Statesalltestshisttriesscored">Sum!$I$21</definedName>
    <definedName name="United_Statesalltestshistwon">Sum!$C$21</definedName>
    <definedName name="United_StatesRWChistdrawn">Sum!$E$49</definedName>
    <definedName name="United_StatesRWChistlost">Sum!$D$49</definedName>
    <definedName name="United_StatesRWChistplayed">Sum!$B$49</definedName>
    <definedName name="United_StatesRWChistptscon">Sum!$H$49</definedName>
    <definedName name="United_StatesRWChistptsscored">Sum!$G$49</definedName>
    <definedName name="United_StatesRWChisttriesscored">Sum!$I$49</definedName>
    <definedName name="United_StatesRWChistwon">Sum!$C$49</definedName>
    <definedName name="Uru2019alltestsdrawn">URU!$AA$11</definedName>
    <definedName name="Uru2019alltestslost">URU!$AB$11</definedName>
    <definedName name="Uru2019alltestsplayed">URU!$F$11</definedName>
    <definedName name="Uru2019alltestsplayedcorrect">URU!$Y$11</definedName>
    <definedName name="Uru2019alltestsptscon">URU!$G$11</definedName>
    <definedName name="Uru2019alltestsptsscored">URU!$F$11</definedName>
    <definedName name="Uru2019allteststriescon">URU!$J$11</definedName>
    <definedName name="Uru2019allteststriesconcorrect">URU!$R$11</definedName>
    <definedName name="Uru2019allteststriesscored">URU!$J$11</definedName>
    <definedName name="Uru2019alltestswon">URU!$Z$11</definedName>
    <definedName name="Uru2019pooldrawn">URU!#REF!</definedName>
    <definedName name="Uru2019poollbcon">URU!#REF!</definedName>
    <definedName name="Uru2019poollbscored">URU!#REF!</definedName>
    <definedName name="Uru2019poollost">URU!#REF!</definedName>
    <definedName name="Uru2019poolplayed">URU!#REF!</definedName>
    <definedName name="Uru2019poolptsagainst">URU!#REF!</definedName>
    <definedName name="Uru2019poolptscon">URU!#REF!</definedName>
    <definedName name="Uru2019poolptsconcorrect">URU!#REF!</definedName>
    <definedName name="Uru2019poolptsscored">URU!#REF!</definedName>
    <definedName name="Uru2019pooltbcon">URU!#REF!</definedName>
    <definedName name="Uru2019pooltbscored">URU!#REF!</definedName>
    <definedName name="Uru2019pooltriescon">URU!#REF!</definedName>
    <definedName name="Uru2019pooltriesscored">URU!#REF!</definedName>
    <definedName name="uru2019poolwon">URU!#REF!</definedName>
    <definedName name="Uru2019RWCdrawn">URU!#REF!</definedName>
    <definedName name="Uru2019RWClostcorrect">URU!#REF!</definedName>
    <definedName name="Uru2019RWCplayed">URU!#REF!</definedName>
    <definedName name="Uru2019RWCptscon">URU!#REF!</definedName>
    <definedName name="Uru2019RWCptsscored">URU!#REF!</definedName>
    <definedName name="Uru2019RWCrc">URU!#REF!</definedName>
    <definedName name="Uru2019RWCtriescon">URU!#REF!</definedName>
    <definedName name="Uru2019RWCtriesscored">URU!#REF!</definedName>
    <definedName name="Uru2019RWCwon">URU!#REF!</definedName>
    <definedName name="Uru2019RWCyc">URU!#REF!</definedName>
    <definedName name="Urualltestshistdrawn">Sum!$E$22</definedName>
    <definedName name="Urualltestshistlost">Sum!$D$22</definedName>
    <definedName name="Urualltestshistplayed">Sum!$B$22</definedName>
    <definedName name="Urualltestshistptscon">Sum!$H$22</definedName>
    <definedName name="Urualltestshistptsscored">Sum!$G$22</definedName>
    <definedName name="Urualltestshisttriesscored">Sum!$I$22</definedName>
    <definedName name="Urualltestshistwon">Sum!$C$22</definedName>
    <definedName name="urulb">URU!#REF!</definedName>
    <definedName name="urulbcon">URU!#REF!</definedName>
    <definedName name="uruoveralldrawn">URU!#REF!</definedName>
    <definedName name="uruoveralllost">URU!#REF!</definedName>
    <definedName name="uruoverallpld">URU!#REF!</definedName>
    <definedName name="uruoverallptsag">URU!#REF!</definedName>
    <definedName name="uruoverallptsscored">URU!#REF!</definedName>
    <definedName name="uruoveralltriescon">URU!#REF!</definedName>
    <definedName name="uruoveralltriesscored">URU!#REF!</definedName>
    <definedName name="uruoverallwon">URU!#REF!</definedName>
    <definedName name="urupooldrawn">URU!#REF!</definedName>
    <definedName name="urupoollost">URU!#REF!</definedName>
    <definedName name="urupoolpld">URU!#REF!</definedName>
    <definedName name="urupoolptsag">URU!#REF!</definedName>
    <definedName name="urupoolptsscored">URU!#REF!</definedName>
    <definedName name="urupooltriesscored">URU!#REF!</definedName>
    <definedName name="urupoolwon">URU!#REF!</definedName>
    <definedName name="urured">URU!#REF!</definedName>
    <definedName name="UruRWChistdrawn">Sum!$E$50</definedName>
    <definedName name="UruRWChistlost">Sum!$D$50</definedName>
    <definedName name="UruRWChistplayed">Sum!$B$50</definedName>
    <definedName name="UruRWChistptscon">Sum!$H$50</definedName>
    <definedName name="UruRWChistptsscored">Sum!$G$50</definedName>
    <definedName name="UruRWChisttriesscored">Sum!$I$50</definedName>
    <definedName name="UruRWChistwon">Sum!$C$50</definedName>
    <definedName name="urutb">URU!#REF!</definedName>
    <definedName name="urutbcon">URU!#REF!</definedName>
    <definedName name="urutriescon">URU!#REF!</definedName>
    <definedName name="uruyellow">URU!#REF!</definedName>
    <definedName name="USA2019alltestsdrawn">USA!$AA$9</definedName>
    <definedName name="USA2019alltestslost">USA!$AB$9</definedName>
    <definedName name="USA2019alltestsplayed">USA!$Y$9</definedName>
    <definedName name="USA2019alltestsptscon">USA!$G$9</definedName>
    <definedName name="USA2019alltestsptsscored">USA!$F$9</definedName>
    <definedName name="USA2019allteststriescon">USA!$R$9</definedName>
    <definedName name="USA2019allteststriesscored">USA!$J$9</definedName>
    <definedName name="USA2019alltestswon">USA!$Z$9</definedName>
    <definedName name="USA2019pooldrawn">USA!#REF!</definedName>
    <definedName name="USA2019poollbcon">USA!#REF!</definedName>
    <definedName name="USA2019poollbscored">USA!#REF!</definedName>
    <definedName name="USA2019poollost">USA!#REF!</definedName>
    <definedName name="USA2019poolplayed">USA!#REF!</definedName>
    <definedName name="USA2019poolptscon">USA!#REF!</definedName>
    <definedName name="USA2019poolptsscored">USA!#REF!</definedName>
    <definedName name="USA2019pooltbcon">USA!#REF!</definedName>
    <definedName name="USA2019pooltbscored">USA!#REF!</definedName>
    <definedName name="USA2019pooltriescon">USA!#REF!</definedName>
    <definedName name="USA2019pooltriesscored">USA!#REF!</definedName>
    <definedName name="USA2019poolwon">USA!#REF!</definedName>
    <definedName name="USA2019RWCdrawn">USA!#REF!</definedName>
    <definedName name="USA2019RWClost">USA!#REF!</definedName>
    <definedName name="USA2019RWCplayed">USA!#REF!</definedName>
    <definedName name="USA2019RWCptscon">USA!#REF!</definedName>
    <definedName name="USA2019RWCptsscored">USA!#REF!</definedName>
    <definedName name="USA2019RWCrc">USA!#REF!</definedName>
    <definedName name="USA2019RWCtriescon">USA!#REF!</definedName>
    <definedName name="USA2019RWCtriesscored">USA!#REF!</definedName>
    <definedName name="USA2019RWCwon">USA!#REF!</definedName>
    <definedName name="USA2019RWCyc">USA!#REF!</definedName>
    <definedName name="usalb">USA!#REF!</definedName>
    <definedName name="usalbcon">USA!#REF!</definedName>
    <definedName name="usaoveralldrawn">USA!#REF!</definedName>
    <definedName name="usaoveralllost">USA!#REF!</definedName>
    <definedName name="usaoverallpld">USA!#REF!</definedName>
    <definedName name="usaoverallptsag">USA!#REF!</definedName>
    <definedName name="usaoverallptsscored">USA!#REF!</definedName>
    <definedName name="usaoveralltriescon">USA!#REF!</definedName>
    <definedName name="usaoveralltriesscored">USA!#REF!</definedName>
    <definedName name="usaoverallwon">USA!#REF!</definedName>
    <definedName name="usapooldrawn">USA!#REF!</definedName>
    <definedName name="usapoollost">USA!#REF!</definedName>
    <definedName name="usapoolpld">USA!#REF!</definedName>
    <definedName name="usapoolptsag">USA!#REF!</definedName>
    <definedName name="usapoolptsscored">USA!#REF!</definedName>
    <definedName name="usapooltriescon">USA!#REF!</definedName>
    <definedName name="usapooltriesscored">USA!#REF!</definedName>
    <definedName name="usapoolwon">USA!#REF!</definedName>
    <definedName name="usared">USA!#REF!</definedName>
    <definedName name="usatb">USA!#REF!</definedName>
    <definedName name="usatbcon">USA!#REF!</definedName>
    <definedName name="usayellow">USA!#REF!</definedName>
    <definedName name="vdrawn">FIJ!#REF!</definedName>
    <definedName name="vlost">SCO!#REF!</definedName>
    <definedName name="vrc">SAM!#REF!</definedName>
    <definedName name="vtriesscored">Sum!$I$17</definedName>
    <definedName name="vwon">URU!#REF!</definedName>
    <definedName name="Wal2019alltestsdrawn">WAL!$AA$17</definedName>
    <definedName name="Wal2019alltestslostcorrect">WAL!$AB$17</definedName>
    <definedName name="Wal2019alltestsplayed">WAL!$Y$17</definedName>
    <definedName name="Wal2019alltestsptscon">WAL!$G$17</definedName>
    <definedName name="Wal2019alltestsptsscored">WAL!$F$17</definedName>
    <definedName name="Wal2019allteststriescon">WAL!$R$17</definedName>
    <definedName name="Wal2019allteststriesscored">WAL!$J$17</definedName>
    <definedName name="Wal2019alltestswon">WAL!$Z$17</definedName>
    <definedName name="Wal2019pooldrawn">WAL!#REF!</definedName>
    <definedName name="Wal2019poollbcon">WAL!#REF!</definedName>
    <definedName name="Wal2019poollbscored">WAL!#REF!</definedName>
    <definedName name="Wal2019poollostcorrect">WAL!#REF!</definedName>
    <definedName name="Wal2019poolplayed">WAL!#REF!</definedName>
    <definedName name="Wal2019poolptscon">WAL!#REF!</definedName>
    <definedName name="Wal2019poolptsscored">WAL!#REF!</definedName>
    <definedName name="Wal2019pooltbcon">WAL!#REF!</definedName>
    <definedName name="Wal2019pooltbscored">WAL!#REF!</definedName>
    <definedName name="Wal2019pooltriescon">WAL!#REF!</definedName>
    <definedName name="Wal2019pooltriesscored">WAL!#REF!</definedName>
    <definedName name="Wal2019poolwon">WAL!#REF!</definedName>
    <definedName name="Wal2019RWCdrawn">WAL!#REF!</definedName>
    <definedName name="Wal2019RWClost">WAL!#REF!</definedName>
    <definedName name="Wal2019RWCplayed">WAL!#REF!</definedName>
    <definedName name="Wal2019RWCptscon">WAL!#REF!</definedName>
    <definedName name="Wal2019RWCptsscored">WAL!#REF!</definedName>
    <definedName name="Wal2019RWCrc">WAL!#REF!</definedName>
    <definedName name="Wal2019RWCtriescon">WAL!#REF!</definedName>
    <definedName name="Wal2019RWCtriesscored">WAL!#REF!</definedName>
    <definedName name="Wal2019RWCwon">WAL!#REF!</definedName>
    <definedName name="Wal2019RWCyc">WAL!#REF!</definedName>
    <definedName name="Walesalltestshistdrawn">Sum!$E$23</definedName>
    <definedName name="Walesalltestshistlost">Sum!$D$23</definedName>
    <definedName name="Walesalltestshistplayed">Sum!$B$23</definedName>
    <definedName name="Walesalltestshistptscon">Sum!$H$23</definedName>
    <definedName name="Walesalltestshistptsscored">Sum!$G$23</definedName>
    <definedName name="Walesalltestshisttriesscored">Sum!$I$23</definedName>
    <definedName name="Walesalltestshistwon">Sum!$C$23</definedName>
    <definedName name="Walesdrawn">WAL!$AA$15</definedName>
    <definedName name="Waleslosingbonus">WAL!$I$15</definedName>
    <definedName name="Waleslost">WAL!$AB$15</definedName>
    <definedName name="Walesplayed">WAL!$Y$15</definedName>
    <definedName name="Walesptsagainst">WAL!$G$15</definedName>
    <definedName name="Walesptsscored">WAL!$F$15</definedName>
    <definedName name="Walesred">WAL!$O$15</definedName>
    <definedName name="WalesRWChistdrawn">Sum!$E$51</definedName>
    <definedName name="WalesRWChistlost">Sum!$D$51</definedName>
    <definedName name="WalesRWChistplayed">Sum!$B$51</definedName>
    <definedName name="WalesRWChistptscon">Sum!$H$51</definedName>
    <definedName name="WalesRWChistptsscored">Sum!$G$51</definedName>
    <definedName name="WalesRWChisttriesscored">Sum!$I$51</definedName>
    <definedName name="WalesRWChistwon">Sum!$C$51</definedName>
    <definedName name="Walestriesagainst">WAL!$R$15</definedName>
    <definedName name="Walestriesscored">WAL!$J$15</definedName>
    <definedName name="Walestrybonus">WAL!$H$15</definedName>
    <definedName name="Waleswon">WAL!$Z$15</definedName>
    <definedName name="Walesyellow">WAL!$N$15</definedName>
    <definedName name="wallb">WAL!#REF!</definedName>
    <definedName name="wallbcon">WAL!#REF!</definedName>
    <definedName name="waloveralldrawn">WAL!#REF!</definedName>
    <definedName name="waloveralllost">WAL!#REF!</definedName>
    <definedName name="waloverallpld">WAL!#REF!</definedName>
    <definedName name="waloverallptsscored">WAL!#REF!</definedName>
    <definedName name="waloveralltriescon">WAL!#REF!</definedName>
    <definedName name="waloveralltriesconcorr">WAL!#REF!</definedName>
    <definedName name="waloveralltriesscored">WAL!#REF!</definedName>
    <definedName name="waloverallwon">WAL!#REF!</definedName>
    <definedName name="walpooldrawn">WAL!#REF!</definedName>
    <definedName name="walpoollost">WAL!#REF!</definedName>
    <definedName name="walpoolpld">WAL!#REF!</definedName>
    <definedName name="walpoolptsag">WAL!#REF!</definedName>
    <definedName name="walpoolptsscored">WAL!#REF!</definedName>
    <definedName name="walpooltriescon">WAL!#REF!</definedName>
    <definedName name="walpooltriesscored">WAL!#REF!</definedName>
    <definedName name="walpoolwon">WAL!#REF!</definedName>
    <definedName name="walred">WAL!#REF!</definedName>
    <definedName name="walredcorr">WAL!#REF!</definedName>
    <definedName name="waltb">WAL!#REF!</definedName>
    <definedName name="waltbcon">WAL!#REF!</definedName>
    <definedName name="walyellow">WAL!#REF!</definedName>
    <definedName name="walyellowcorr">WAL!#REF!</definedName>
    <definedName name="waspsbonus">NZL!#REF!</definedName>
    <definedName name="waspsconceded">NZL!#REF!</definedName>
    <definedName name="waspsdrawn">NZL!#REF!</definedName>
    <definedName name="waspsdrawncorrect">NZL!#REF!</definedName>
    <definedName name="waspslosingbonus">NZL!#REF!</definedName>
    <definedName name="waspslosingbonusconceded">NZL!#REF!</definedName>
    <definedName name="waspslost">NZL!#REF!</definedName>
    <definedName name="waspsplayed">NZL!#REF!</definedName>
    <definedName name="waspspremred">[2]WAS!$O$40</definedName>
    <definedName name="Waspspremtotalsdgs">[1]WAS!$L$37</definedName>
    <definedName name="waspspremtotalsdrawn">[1]WAS!$AA$37</definedName>
    <definedName name="Waspspremtotalslost">[1]WAS!$AB$37</definedName>
    <definedName name="Waspspremtotalsplayed">[1]WAS!$Y$37</definedName>
    <definedName name="Waspspremtotalsptsagainst">[1]WAS!$G$37</definedName>
    <definedName name="Waspspremtotalsptsscored">[1]WAS!$F$37</definedName>
    <definedName name="Waspspremtotalsrc">[1]WAS!$O$37</definedName>
    <definedName name="Waspspremtotalstriesconceded">[1]WAS!$R$37</definedName>
    <definedName name="Waspspremtotalstriesscored">[1]WAS!$J$37</definedName>
    <definedName name="Waspspremtotalswon">[1]WAS!$Z$37</definedName>
    <definedName name="Waspspremtotalsyc">[1]WAS!$N$37</definedName>
    <definedName name="waspspremtrybonusconc">[1]WAS!$P$35</definedName>
    <definedName name="waspspremtrybonusscored">[1]WAS!$H$35</definedName>
    <definedName name="waspspremyellow">[2]WAS!$N$40</definedName>
    <definedName name="waspsred">NZL!#REF!</definedName>
    <definedName name="waspsscored">NZL!#REF!</definedName>
    <definedName name="waspstriesconceded">NZL!#REF!</definedName>
    <definedName name="waspstriesscored">NZL!#REF!</definedName>
    <definedName name="waspstrybonus">NZL!#REF!</definedName>
    <definedName name="waspstrybonusconceded">NZL!#REF!</definedName>
    <definedName name="waspswon">NZL!#REF!</definedName>
    <definedName name="waspsyellow">NZL!#REF!</definedName>
    <definedName name="welshlosingbonus">GEO!#REF!</definedName>
    <definedName name="welshtrybonus">GEO!#REF!</definedName>
    <definedName name="worbonus">GEO!#REF!</definedName>
    <definedName name="worcester201314triesagainst">GEO!#REF!</definedName>
    <definedName name="worcesterpremred">[2]WOR!$O$35</definedName>
    <definedName name="worcesterpremseasontotalsdgs">[1]WOR!$L$39</definedName>
    <definedName name="worcesterpremseasontotalsdrawn">[1]WOR!$AA$39</definedName>
    <definedName name="worcesterpremseasontotalslost">[1]WOR!$AB$39</definedName>
    <definedName name="worcesterpremseasontotalsplayed">[1]WOR!$Y$39</definedName>
    <definedName name="worcesterpremseasontotalsptsagainst">[1]WOR!$G$39</definedName>
    <definedName name="worcesterpremseasontotalsptsscored">[1]WOR!$F$39</definedName>
    <definedName name="worcesterpremseasontotalsRC">[1]WOR!$O$39</definedName>
    <definedName name="worcesterpremseasontotalstriesconceded">[1]WOR!$R$39</definedName>
    <definedName name="worcesterpremseasontotalstriesscoredcorrect">[1]WOR!$J$39</definedName>
    <definedName name="worcesterpremseasontotalswon">[1]WOR!$Z$39</definedName>
    <definedName name="worcesterpremseasontotalsYC">[1]WOR!$N$39</definedName>
    <definedName name="worcesterpremtrybonusconc">[1]WOR!$P$37</definedName>
    <definedName name="worcesterpremtrybonusscored">[1]WOR!$H$37</definedName>
    <definedName name="worcesterpremyellow">[2]WOR!$N$35</definedName>
    <definedName name="worcestertriesscored">GEO!#REF!</definedName>
    <definedName name="worconceded">GEO!#REF!</definedName>
    <definedName name="wordrawn">GEO!#REF!</definedName>
    <definedName name="worlosingbonus">GEO!#REF!</definedName>
    <definedName name="worlosingbonusconceded">GEO!#REF!</definedName>
    <definedName name="worlost">GEO!#REF!</definedName>
    <definedName name="worplayed">GEO!#REF!</definedName>
    <definedName name="worred">GEO!#REF!</definedName>
    <definedName name="worscored">GEO!#REF!</definedName>
    <definedName name="wortriesconceded">GEO!#REF!</definedName>
    <definedName name="wortriesscored">GEO!#REF!</definedName>
    <definedName name="wortrybonus">GEO!#REF!</definedName>
    <definedName name="wortrybonusconceded">GEO!#REF!</definedName>
    <definedName name="worwon">GEO!#REF!</definedName>
    <definedName name="woryellow">GEO!#REF!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10" i="24" l="1"/>
  <c r="AM10" i="24"/>
  <c r="AL10" i="24"/>
  <c r="AK10" i="24"/>
  <c r="AJ10" i="24"/>
  <c r="AI10" i="24"/>
  <c r="AH10" i="24"/>
  <c r="AG10" i="24"/>
  <c r="AF10" i="24"/>
  <c r="AE10" i="24"/>
  <c r="AD10" i="24"/>
  <c r="AC10" i="24"/>
  <c r="AB10" i="24"/>
  <c r="AA10" i="24"/>
  <c r="Z10" i="24"/>
  <c r="Y10" i="24"/>
  <c r="R10" i="24"/>
  <c r="Q10" i="24"/>
  <c r="P10" i="24"/>
  <c r="O10" i="24"/>
  <c r="N10" i="24"/>
  <c r="M10" i="24"/>
  <c r="L10" i="24"/>
  <c r="K10" i="24"/>
  <c r="J10" i="24"/>
  <c r="I10" i="24"/>
  <c r="H10" i="24"/>
  <c r="G10" i="24"/>
  <c r="F10" i="24"/>
  <c r="AN15" i="23"/>
  <c r="AM15" i="23"/>
  <c r="AL15" i="23"/>
  <c r="AK15" i="23"/>
  <c r="AJ15" i="23"/>
  <c r="AI15" i="23"/>
  <c r="AH15" i="23"/>
  <c r="AG15" i="23"/>
  <c r="AF15" i="23"/>
  <c r="AE15" i="23"/>
  <c r="AD15" i="23"/>
  <c r="AC15" i="23"/>
  <c r="AB15" i="23"/>
  <c r="AA15" i="23"/>
  <c r="Z15" i="23"/>
  <c r="Y15" i="23"/>
  <c r="R15" i="23"/>
  <c r="O15" i="23"/>
  <c r="N15" i="23"/>
  <c r="M15" i="23"/>
  <c r="L15" i="23"/>
  <c r="K15" i="23"/>
  <c r="J15" i="23"/>
  <c r="G15" i="23"/>
  <c r="F15" i="23"/>
  <c r="AN16" i="23"/>
  <c r="AM16" i="23"/>
  <c r="AL16" i="23"/>
  <c r="AK16" i="23"/>
  <c r="AJ16" i="23"/>
  <c r="AI16" i="23"/>
  <c r="AH16" i="23"/>
  <c r="AG16" i="23"/>
  <c r="AF16" i="23"/>
  <c r="AE16" i="23"/>
  <c r="AD16" i="23"/>
  <c r="AC16" i="23"/>
  <c r="AB16" i="23"/>
  <c r="AA16" i="23"/>
  <c r="Z16" i="23"/>
  <c r="Y16" i="23"/>
  <c r="R14" i="23"/>
  <c r="Q14" i="23"/>
  <c r="P14" i="23"/>
  <c r="O14" i="23"/>
  <c r="N14" i="23"/>
  <c r="M14" i="23"/>
  <c r="L14" i="23"/>
  <c r="K14" i="23"/>
  <c r="J14" i="23"/>
  <c r="I14" i="23"/>
  <c r="H14" i="23"/>
  <c r="G14" i="23"/>
  <c r="R16" i="23"/>
  <c r="Q16" i="23"/>
  <c r="P16" i="23"/>
  <c r="O16" i="23"/>
  <c r="N16" i="23"/>
  <c r="M16" i="23"/>
  <c r="L16" i="23"/>
  <c r="K16" i="23"/>
  <c r="J16" i="23"/>
  <c r="I16" i="23"/>
  <c r="H16" i="23"/>
  <c r="G16" i="23"/>
  <c r="F16" i="23"/>
  <c r="R8" i="35"/>
  <c r="O8" i="35"/>
  <c r="N8" i="35"/>
  <c r="M8" i="35"/>
  <c r="L8" i="35"/>
  <c r="K8" i="35"/>
  <c r="J8" i="35"/>
  <c r="G8" i="35"/>
  <c r="F8" i="35"/>
  <c r="AN8" i="35"/>
  <c r="AM8" i="35"/>
  <c r="AL8" i="35"/>
  <c r="AK8" i="35"/>
  <c r="AJ8" i="35"/>
  <c r="AI8" i="35"/>
  <c r="AH8" i="35"/>
  <c r="AG8" i="35"/>
  <c r="AF8" i="35"/>
  <c r="AE8" i="35"/>
  <c r="AD8" i="35"/>
  <c r="AC8" i="35"/>
  <c r="AB8" i="35"/>
  <c r="AA8" i="35"/>
  <c r="Z8" i="35"/>
  <c r="Y8" i="35"/>
  <c r="J16" i="26" l="1"/>
  <c r="J17" i="15"/>
  <c r="AN16" i="16"/>
  <c r="AM16" i="16"/>
  <c r="AL16" i="16"/>
  <c r="AK16" i="16"/>
  <c r="AJ16" i="16"/>
  <c r="AI16" i="16"/>
  <c r="AH16" i="16"/>
  <c r="AG16" i="16"/>
  <c r="AF16" i="16"/>
  <c r="AE16" i="16"/>
  <c r="AD16" i="16"/>
  <c r="AC16" i="16"/>
  <c r="AB16" i="16"/>
  <c r="AA16" i="16"/>
  <c r="Z16" i="16"/>
  <c r="Y16" i="16"/>
  <c r="R16" i="16"/>
  <c r="Q16" i="16"/>
  <c r="P16" i="16"/>
  <c r="O16" i="16"/>
  <c r="N16" i="16"/>
  <c r="M16" i="16"/>
  <c r="L16" i="16"/>
  <c r="K16" i="16"/>
  <c r="J16" i="16"/>
  <c r="I16" i="16"/>
  <c r="H16" i="16"/>
  <c r="G16" i="16"/>
  <c r="F16" i="16"/>
  <c r="AN15" i="16"/>
  <c r="AM15" i="16"/>
  <c r="AL15" i="16"/>
  <c r="AK15" i="16"/>
  <c r="AJ15" i="16"/>
  <c r="AI15" i="16"/>
  <c r="AH15" i="16"/>
  <c r="AG15" i="16"/>
  <c r="AF15" i="16"/>
  <c r="AE15" i="16"/>
  <c r="AD15" i="16"/>
  <c r="AC15" i="16"/>
  <c r="AB15" i="16"/>
  <c r="AA15" i="16"/>
  <c r="Z15" i="16"/>
  <c r="Y15" i="16"/>
  <c r="R15" i="16"/>
  <c r="O15" i="16"/>
  <c r="N15" i="16"/>
  <c r="M15" i="16"/>
  <c r="L15" i="16"/>
  <c r="K15" i="16"/>
  <c r="J15" i="16"/>
  <c r="G15" i="16"/>
  <c r="F15" i="16"/>
  <c r="AN16" i="9"/>
  <c r="AM16" i="9"/>
  <c r="AL16" i="9"/>
  <c r="AK16" i="9"/>
  <c r="AJ16" i="9"/>
  <c r="AI16" i="9"/>
  <c r="AH16" i="9"/>
  <c r="AG16" i="9"/>
  <c r="AF16" i="9"/>
  <c r="AE16" i="9"/>
  <c r="AD16" i="9"/>
  <c r="AC16" i="9"/>
  <c r="AB16" i="9"/>
  <c r="AA16" i="9"/>
  <c r="Z16" i="9"/>
  <c r="Y16" i="9"/>
  <c r="R16" i="9"/>
  <c r="O16" i="9"/>
  <c r="N16" i="9"/>
  <c r="M16" i="9"/>
  <c r="L16" i="9"/>
  <c r="K16" i="9"/>
  <c r="J16" i="9"/>
  <c r="G16" i="9"/>
  <c r="F16" i="9"/>
  <c r="AN15" i="17" l="1"/>
  <c r="AM15" i="17"/>
  <c r="AL15" i="17"/>
  <c r="AK15" i="17"/>
  <c r="AJ15" i="17"/>
  <c r="AI15" i="17"/>
  <c r="AH15" i="17"/>
  <c r="AG15" i="17"/>
  <c r="AF15" i="17"/>
  <c r="AE15" i="17"/>
  <c r="AD15" i="17"/>
  <c r="AC15" i="17"/>
  <c r="AB15" i="17"/>
  <c r="AA15" i="17"/>
  <c r="Z15" i="17"/>
  <c r="Y15" i="17"/>
  <c r="R15" i="17"/>
  <c r="O15" i="17"/>
  <c r="N15" i="17"/>
  <c r="M15" i="17"/>
  <c r="L15" i="17"/>
  <c r="K15" i="17"/>
  <c r="J15" i="17"/>
  <c r="G15" i="17"/>
  <c r="F15" i="17"/>
  <c r="AN16" i="17"/>
  <c r="AM16" i="17"/>
  <c r="AL16" i="17"/>
  <c r="AK16" i="17"/>
  <c r="AJ16" i="17"/>
  <c r="AI16" i="17"/>
  <c r="AH16" i="17"/>
  <c r="AG16" i="17"/>
  <c r="AF16" i="17"/>
  <c r="AE16" i="17"/>
  <c r="AD16" i="17"/>
  <c r="AC16" i="17"/>
  <c r="AB16" i="17"/>
  <c r="AA16" i="17"/>
  <c r="Z16" i="17"/>
  <c r="Y16" i="17"/>
  <c r="R16" i="17"/>
  <c r="Q16" i="17"/>
  <c r="P16" i="17"/>
  <c r="O16" i="17"/>
  <c r="N16" i="17"/>
  <c r="M16" i="17"/>
  <c r="L16" i="17"/>
  <c r="K16" i="17"/>
  <c r="J16" i="17"/>
  <c r="I16" i="17"/>
  <c r="H16" i="17"/>
  <c r="G16" i="17"/>
  <c r="F16" i="17"/>
  <c r="AN16" i="26" l="1"/>
  <c r="AM16" i="26"/>
  <c r="AL16" i="26"/>
  <c r="AK16" i="26"/>
  <c r="AJ16" i="26"/>
  <c r="AI16" i="26"/>
  <c r="AH16" i="26"/>
  <c r="AG16" i="26"/>
  <c r="AF16" i="26"/>
  <c r="AE16" i="26"/>
  <c r="AD16" i="26"/>
  <c r="AC16" i="26"/>
  <c r="AB16" i="26"/>
  <c r="AA16" i="26"/>
  <c r="Z16" i="26"/>
  <c r="Y16" i="26"/>
  <c r="R16" i="26"/>
  <c r="O16" i="26"/>
  <c r="N16" i="26"/>
  <c r="M16" i="26"/>
  <c r="L16" i="26"/>
  <c r="K16" i="26"/>
  <c r="G16" i="26"/>
  <c r="F16" i="26"/>
  <c r="N18" i="43"/>
  <c r="M18" i="43"/>
  <c r="L18" i="43"/>
  <c r="K18" i="43"/>
  <c r="J18" i="43"/>
  <c r="I18" i="43"/>
  <c r="N38" i="43"/>
  <c r="M38" i="43"/>
  <c r="L38" i="43"/>
  <c r="J38" i="43"/>
  <c r="I38" i="43"/>
  <c r="K38" i="43"/>
  <c r="P25" i="43" l="1"/>
  <c r="O37" i="43"/>
  <c r="Q37" i="43" s="1"/>
  <c r="O36" i="43"/>
  <c r="Q36" i="43" s="1"/>
  <c r="O35" i="43"/>
  <c r="O34" i="43"/>
  <c r="Q34" i="43" s="1"/>
  <c r="O33" i="43"/>
  <c r="P33" i="43" s="1"/>
  <c r="O32" i="43"/>
  <c r="Q32" i="43" s="1"/>
  <c r="O31" i="43"/>
  <c r="P31" i="43" s="1"/>
  <c r="O30" i="43"/>
  <c r="Q30" i="43" s="1"/>
  <c r="O15" i="43"/>
  <c r="O14" i="43"/>
  <c r="Q14" i="43" s="1"/>
  <c r="O13" i="43"/>
  <c r="R13" i="43" s="1"/>
  <c r="O12" i="43"/>
  <c r="Q12" i="43"/>
  <c r="O9" i="43"/>
  <c r="O7" i="43"/>
  <c r="R7" i="43" s="1"/>
  <c r="O5" i="43"/>
  <c r="Q5" i="43" s="1"/>
  <c r="O4" i="43"/>
  <c r="Q4" i="43" s="1"/>
  <c r="F3" i="43"/>
  <c r="F7" i="43"/>
  <c r="F6" i="43"/>
  <c r="F16" i="43"/>
  <c r="F9" i="43"/>
  <c r="F15" i="43"/>
  <c r="F12" i="43"/>
  <c r="F13" i="43"/>
  <c r="O29" i="43"/>
  <c r="P29" i="43" s="1"/>
  <c r="O28" i="43"/>
  <c r="Q28" i="43" s="1"/>
  <c r="O27" i="43"/>
  <c r="Q27" i="43" s="1"/>
  <c r="O26" i="43"/>
  <c r="Q26" i="43" s="1"/>
  <c r="O25" i="43"/>
  <c r="Q25" i="43" s="1"/>
  <c r="O24" i="43"/>
  <c r="Q24" i="43" s="1"/>
  <c r="P18" i="43"/>
  <c r="O17" i="43"/>
  <c r="Q17" i="43" s="1"/>
  <c r="O16" i="43"/>
  <c r="R16" i="43" s="1"/>
  <c r="F5" i="43"/>
  <c r="O11" i="43"/>
  <c r="F8" i="43"/>
  <c r="O10" i="43"/>
  <c r="D11" i="43"/>
  <c r="F11" i="43" s="1"/>
  <c r="O8" i="43"/>
  <c r="R8" i="43" s="1"/>
  <c r="D14" i="43"/>
  <c r="D17" i="43" s="1"/>
  <c r="O6" i="43"/>
  <c r="R6" i="43" s="1"/>
  <c r="D4" i="43"/>
  <c r="F4" i="43" s="1"/>
  <c r="F10" i="43"/>
  <c r="R12" i="43"/>
  <c r="Q13" i="43"/>
  <c r="B17" i="43"/>
  <c r="P24" i="43"/>
  <c r="I17" i="10"/>
  <c r="H17" i="10"/>
  <c r="AN14" i="20"/>
  <c r="AM14" i="20"/>
  <c r="AL14" i="20"/>
  <c r="AK14" i="20"/>
  <c r="AJ14" i="20"/>
  <c r="AI14" i="20"/>
  <c r="AH14" i="20"/>
  <c r="AG14" i="20"/>
  <c r="AF14" i="20"/>
  <c r="AE14" i="20"/>
  <c r="AD14" i="20"/>
  <c r="AC14" i="20"/>
  <c r="AB14" i="20"/>
  <c r="AA14" i="20"/>
  <c r="Z14" i="20"/>
  <c r="Y14" i="20"/>
  <c r="R14" i="20"/>
  <c r="O14" i="20"/>
  <c r="N14" i="20"/>
  <c r="M14" i="20"/>
  <c r="L14" i="20"/>
  <c r="K14" i="20"/>
  <c r="J14" i="20"/>
  <c r="G14" i="20"/>
  <c r="AN13" i="20"/>
  <c r="AM13" i="20"/>
  <c r="AL13" i="20"/>
  <c r="AK13" i="20"/>
  <c r="AJ13" i="20"/>
  <c r="AI13" i="20"/>
  <c r="AH13" i="20"/>
  <c r="AG13" i="20"/>
  <c r="AF13" i="20"/>
  <c r="AE13" i="20"/>
  <c r="AD13" i="20"/>
  <c r="AC13" i="20"/>
  <c r="AB13" i="20"/>
  <c r="AA13" i="20"/>
  <c r="Z13" i="20"/>
  <c r="Y13" i="20"/>
  <c r="R13" i="20"/>
  <c r="Q13" i="20"/>
  <c r="P13" i="20"/>
  <c r="O13" i="20"/>
  <c r="N13" i="20"/>
  <c r="M13" i="20"/>
  <c r="L13" i="20"/>
  <c r="K13" i="20"/>
  <c r="J13" i="20"/>
  <c r="I13" i="20"/>
  <c r="H13" i="20"/>
  <c r="G13" i="20"/>
  <c r="AN17" i="15"/>
  <c r="AM17" i="15"/>
  <c r="AL17" i="15"/>
  <c r="AK17" i="15"/>
  <c r="AJ17" i="15"/>
  <c r="AI17" i="15"/>
  <c r="AH17" i="15"/>
  <c r="AG17" i="15"/>
  <c r="AF17" i="15"/>
  <c r="AE17" i="15"/>
  <c r="AD17" i="15"/>
  <c r="AC17" i="15"/>
  <c r="AB17" i="15"/>
  <c r="AA17" i="15"/>
  <c r="Z17" i="15"/>
  <c r="Y17" i="15"/>
  <c r="R17" i="15"/>
  <c r="O17" i="15"/>
  <c r="N17" i="15"/>
  <c r="M17" i="15"/>
  <c r="L17" i="15"/>
  <c r="K17" i="15"/>
  <c r="G17" i="15"/>
  <c r="F17" i="15"/>
  <c r="AN7" i="14"/>
  <c r="AM7" i="14"/>
  <c r="AL7" i="14"/>
  <c r="AK7" i="14"/>
  <c r="AJ7" i="14"/>
  <c r="AI7" i="14"/>
  <c r="AH7" i="14"/>
  <c r="AG7" i="14"/>
  <c r="AF7" i="14"/>
  <c r="AE7" i="14"/>
  <c r="AD7" i="14"/>
  <c r="AC7" i="14"/>
  <c r="AB7" i="14"/>
  <c r="AA7" i="14"/>
  <c r="Z7" i="14"/>
  <c r="Y7" i="14"/>
  <c r="R7" i="14"/>
  <c r="O7" i="14"/>
  <c r="N7" i="14"/>
  <c r="M7" i="14"/>
  <c r="L7" i="14"/>
  <c r="K7" i="14"/>
  <c r="J7" i="14"/>
  <c r="G7" i="14"/>
  <c r="F7" i="14"/>
  <c r="O4" i="42"/>
  <c r="R4" i="42"/>
  <c r="O16" i="42"/>
  <c r="Q16" i="42"/>
  <c r="O14" i="42"/>
  <c r="P14" i="42"/>
  <c r="J17" i="42"/>
  <c r="O13" i="42"/>
  <c r="Q13" i="42"/>
  <c r="O15" i="42"/>
  <c r="P15" i="42"/>
  <c r="I17" i="42"/>
  <c r="N17" i="42"/>
  <c r="M17" i="42"/>
  <c r="L17" i="42"/>
  <c r="K17" i="42"/>
  <c r="J7" i="42"/>
  <c r="O3" i="42"/>
  <c r="Q3" i="42"/>
  <c r="O5" i="42"/>
  <c r="R5" i="42"/>
  <c r="O6" i="42"/>
  <c r="R6" i="42"/>
  <c r="I7" i="42"/>
  <c r="P7" i="42"/>
  <c r="N7" i="42"/>
  <c r="M7" i="42"/>
  <c r="L7" i="42"/>
  <c r="K7" i="42"/>
  <c r="D4" i="42"/>
  <c r="F4" i="42"/>
  <c r="D2" i="42"/>
  <c r="B6" i="42"/>
  <c r="F5" i="42"/>
  <c r="F2" i="42"/>
  <c r="F3" i="42"/>
  <c r="AN15" i="30"/>
  <c r="AM15" i="30"/>
  <c r="AL15" i="30"/>
  <c r="AK15" i="30"/>
  <c r="AJ15" i="30"/>
  <c r="AI15" i="30"/>
  <c r="AH15" i="30"/>
  <c r="AG15" i="30"/>
  <c r="AF15" i="30"/>
  <c r="AE15" i="30"/>
  <c r="AD15" i="30"/>
  <c r="AC15" i="30"/>
  <c r="AB15" i="30"/>
  <c r="AA15" i="30"/>
  <c r="Z15" i="30"/>
  <c r="Y15" i="30"/>
  <c r="R15" i="30"/>
  <c r="Q15" i="30"/>
  <c r="P15" i="30"/>
  <c r="O15" i="30"/>
  <c r="N15" i="30"/>
  <c r="M15" i="30"/>
  <c r="L15" i="30"/>
  <c r="K15" i="30"/>
  <c r="J15" i="30"/>
  <c r="I15" i="30"/>
  <c r="H15" i="30"/>
  <c r="G15" i="30"/>
  <c r="F15" i="30"/>
  <c r="AN17" i="26"/>
  <c r="AM17" i="26"/>
  <c r="AL17" i="26"/>
  <c r="AK17" i="26"/>
  <c r="AJ17" i="26"/>
  <c r="AI17" i="26"/>
  <c r="AH17" i="26"/>
  <c r="AG17" i="26"/>
  <c r="AF17" i="26"/>
  <c r="AE17" i="26"/>
  <c r="AD17" i="26"/>
  <c r="AC17" i="26"/>
  <c r="AB17" i="26"/>
  <c r="AA17" i="26"/>
  <c r="Z17" i="26"/>
  <c r="Y17" i="26"/>
  <c r="R17" i="26"/>
  <c r="Q17" i="26"/>
  <c r="P17" i="26"/>
  <c r="O17" i="26"/>
  <c r="N17" i="26"/>
  <c r="M17" i="26"/>
  <c r="L17" i="26"/>
  <c r="K17" i="26"/>
  <c r="J17" i="26"/>
  <c r="I17" i="26"/>
  <c r="H17" i="26"/>
  <c r="G17" i="26"/>
  <c r="F17" i="26"/>
  <c r="AN16" i="25"/>
  <c r="AM16" i="25"/>
  <c r="AL16" i="25"/>
  <c r="AK16" i="25"/>
  <c r="AJ16" i="25"/>
  <c r="AI16" i="25"/>
  <c r="AH16" i="25"/>
  <c r="AG16" i="25"/>
  <c r="AF16" i="25"/>
  <c r="AE16" i="25"/>
  <c r="AD16" i="25"/>
  <c r="AC16" i="25"/>
  <c r="AB16" i="25"/>
  <c r="AA16" i="25"/>
  <c r="Z16" i="25"/>
  <c r="Y16" i="25"/>
  <c r="R16" i="25"/>
  <c r="O16" i="25"/>
  <c r="N16" i="25"/>
  <c r="M16" i="25"/>
  <c r="L16" i="25"/>
  <c r="K16" i="25"/>
  <c r="J16" i="25"/>
  <c r="G16" i="25"/>
  <c r="F16" i="25"/>
  <c r="AN15" i="25"/>
  <c r="AM15" i="25"/>
  <c r="AL15" i="25"/>
  <c r="AK15" i="25"/>
  <c r="AJ15" i="25"/>
  <c r="AI15" i="25"/>
  <c r="AH15" i="25"/>
  <c r="AG15" i="25"/>
  <c r="AF15" i="25"/>
  <c r="AE15" i="25"/>
  <c r="AD15" i="25"/>
  <c r="AC15" i="25"/>
  <c r="AB15" i="25"/>
  <c r="AA15" i="25"/>
  <c r="Z15" i="25"/>
  <c r="Y15" i="25"/>
  <c r="R15" i="25"/>
  <c r="Q15" i="25"/>
  <c r="P15" i="25"/>
  <c r="O15" i="25"/>
  <c r="N15" i="25"/>
  <c r="M15" i="25"/>
  <c r="L15" i="25"/>
  <c r="K15" i="25"/>
  <c r="J15" i="25"/>
  <c r="I15" i="25"/>
  <c r="H15" i="25"/>
  <c r="G15" i="25"/>
  <c r="F15" i="25"/>
  <c r="AN8" i="24"/>
  <c r="AM8" i="24"/>
  <c r="AL8" i="24"/>
  <c r="AK8" i="24"/>
  <c r="AJ8" i="24"/>
  <c r="AI8" i="24"/>
  <c r="AH8" i="24"/>
  <c r="AG8" i="24"/>
  <c r="AF8" i="24"/>
  <c r="AE8" i="24"/>
  <c r="AD8" i="24"/>
  <c r="AC8" i="24"/>
  <c r="AB8" i="24"/>
  <c r="AA8" i="24"/>
  <c r="Z8" i="24"/>
  <c r="Y8" i="24"/>
  <c r="R8" i="24"/>
  <c r="O8" i="24"/>
  <c r="N8" i="24"/>
  <c r="M8" i="24"/>
  <c r="L8" i="24"/>
  <c r="K8" i="24"/>
  <c r="J8" i="24"/>
  <c r="G8" i="24"/>
  <c r="F8" i="24"/>
  <c r="AN16" i="15"/>
  <c r="AM16" i="15"/>
  <c r="AL16" i="15"/>
  <c r="AK16" i="15"/>
  <c r="AJ16" i="15"/>
  <c r="AI16" i="15"/>
  <c r="AH16" i="15"/>
  <c r="AG16" i="15"/>
  <c r="AF16" i="15"/>
  <c r="AE16" i="15"/>
  <c r="AD16" i="15"/>
  <c r="AC16" i="15"/>
  <c r="AB16" i="15"/>
  <c r="AA16" i="15"/>
  <c r="Z16" i="15"/>
  <c r="Y16" i="15"/>
  <c r="R16" i="15"/>
  <c r="Q16" i="15"/>
  <c r="P16" i="15"/>
  <c r="O16" i="15"/>
  <c r="N16" i="15"/>
  <c r="M16" i="15"/>
  <c r="L16" i="15"/>
  <c r="K16" i="15"/>
  <c r="J16" i="15"/>
  <c r="I16" i="15"/>
  <c r="H16" i="15"/>
  <c r="G16" i="15"/>
  <c r="F16" i="15"/>
  <c r="AN14" i="16"/>
  <c r="AM14" i="16"/>
  <c r="AL14" i="16"/>
  <c r="AK14" i="16"/>
  <c r="AJ14" i="16"/>
  <c r="AI14" i="16"/>
  <c r="AH14" i="16"/>
  <c r="AG14" i="16"/>
  <c r="AF14" i="16"/>
  <c r="AE14" i="16"/>
  <c r="AD14" i="16"/>
  <c r="AC14" i="16"/>
  <c r="AB14" i="16"/>
  <c r="AA14" i="16"/>
  <c r="Z14" i="16"/>
  <c r="C60" i="41"/>
  <c r="F60" i="41" s="1"/>
  <c r="Y14" i="16"/>
  <c r="R14" i="16"/>
  <c r="Q14" i="16"/>
  <c r="P14" i="16"/>
  <c r="O14" i="16"/>
  <c r="N14" i="16"/>
  <c r="M14" i="16"/>
  <c r="L14" i="16"/>
  <c r="K14" i="16"/>
  <c r="J14" i="16"/>
  <c r="I14" i="16"/>
  <c r="H14" i="16"/>
  <c r="G14" i="16"/>
  <c r="F14" i="16"/>
  <c r="AN18" i="10"/>
  <c r="AM18" i="10"/>
  <c r="AL18" i="10"/>
  <c r="AK18" i="10"/>
  <c r="AJ18" i="10"/>
  <c r="AI18" i="10"/>
  <c r="AH18" i="10"/>
  <c r="AG18" i="10"/>
  <c r="AF18" i="10"/>
  <c r="AE18" i="10"/>
  <c r="AD18" i="10"/>
  <c r="AC18" i="10"/>
  <c r="AB18" i="10"/>
  <c r="AA18" i="10"/>
  <c r="Z18" i="10"/>
  <c r="Y18" i="10"/>
  <c r="R18" i="10"/>
  <c r="O18" i="10"/>
  <c r="N18" i="10"/>
  <c r="M18" i="10"/>
  <c r="L18" i="10"/>
  <c r="K18" i="10"/>
  <c r="J18" i="10"/>
  <c r="G18" i="10"/>
  <c r="AN17" i="10"/>
  <c r="AM17" i="10"/>
  <c r="AL17" i="10"/>
  <c r="AK17" i="10"/>
  <c r="AJ17" i="10"/>
  <c r="AI17" i="10"/>
  <c r="AH17" i="10"/>
  <c r="AG17" i="10"/>
  <c r="AF17" i="10"/>
  <c r="AE17" i="10"/>
  <c r="AD17" i="10"/>
  <c r="AC17" i="10"/>
  <c r="AB17" i="10"/>
  <c r="AA17" i="10"/>
  <c r="Z17" i="10"/>
  <c r="Y17" i="10"/>
  <c r="R17" i="10"/>
  <c r="Q17" i="10"/>
  <c r="P17" i="10"/>
  <c r="O17" i="10"/>
  <c r="N17" i="10"/>
  <c r="M17" i="10"/>
  <c r="L17" i="10"/>
  <c r="K17" i="10"/>
  <c r="J17" i="10"/>
  <c r="G17" i="10"/>
  <c r="F18" i="10"/>
  <c r="F17" i="10"/>
  <c r="AN15" i="11"/>
  <c r="AM15" i="11"/>
  <c r="AL15" i="11"/>
  <c r="AK15" i="11"/>
  <c r="AJ15" i="11"/>
  <c r="AI15" i="11"/>
  <c r="AH15" i="11"/>
  <c r="AG15" i="11"/>
  <c r="AF15" i="11"/>
  <c r="AE15" i="11"/>
  <c r="AD15" i="11"/>
  <c r="AC15" i="11"/>
  <c r="AB15" i="11"/>
  <c r="AA15" i="11"/>
  <c r="Z15" i="11"/>
  <c r="Y15" i="11"/>
  <c r="R15" i="11"/>
  <c r="Q15" i="11"/>
  <c r="P15" i="11"/>
  <c r="O15" i="11"/>
  <c r="N15" i="11"/>
  <c r="M15" i="11"/>
  <c r="L15" i="11"/>
  <c r="K15" i="11"/>
  <c r="J15" i="11"/>
  <c r="I15" i="11"/>
  <c r="H15" i="11"/>
  <c r="G15" i="11"/>
  <c r="F15" i="11"/>
  <c r="AN7" i="12"/>
  <c r="AM7" i="12"/>
  <c r="AL7" i="12"/>
  <c r="AK7" i="12"/>
  <c r="AJ7" i="12"/>
  <c r="AI7" i="12"/>
  <c r="AH7" i="12"/>
  <c r="AG7" i="12"/>
  <c r="AF7" i="12"/>
  <c r="AE7" i="12"/>
  <c r="AD7" i="12"/>
  <c r="AC7" i="12"/>
  <c r="AB7" i="12"/>
  <c r="AA7" i="12"/>
  <c r="Z7" i="12"/>
  <c r="Y7" i="12"/>
  <c r="R7" i="12"/>
  <c r="Q7" i="12"/>
  <c r="P7" i="12"/>
  <c r="O7" i="12"/>
  <c r="N7" i="12"/>
  <c r="M7" i="12"/>
  <c r="L7" i="12"/>
  <c r="K7" i="12"/>
  <c r="J7" i="12"/>
  <c r="I7" i="12"/>
  <c r="H7" i="12"/>
  <c r="G7" i="12"/>
  <c r="F7" i="12"/>
  <c r="AN14" i="13"/>
  <c r="AM14" i="13"/>
  <c r="AL14" i="13"/>
  <c r="AK14" i="13"/>
  <c r="AJ14" i="13"/>
  <c r="AI14" i="13"/>
  <c r="AH14" i="13"/>
  <c r="AG14" i="13"/>
  <c r="AF14" i="13"/>
  <c r="AE14" i="13"/>
  <c r="AD14" i="13"/>
  <c r="AC14" i="13"/>
  <c r="AB14" i="13"/>
  <c r="AA14" i="13"/>
  <c r="Z14" i="13"/>
  <c r="Y14" i="13"/>
  <c r="R14" i="13"/>
  <c r="O14" i="13"/>
  <c r="N14" i="13"/>
  <c r="M14" i="13"/>
  <c r="L14" i="13"/>
  <c r="K14" i="13"/>
  <c r="J14" i="13"/>
  <c r="G14" i="13"/>
  <c r="F14" i="13"/>
  <c r="AN13" i="13"/>
  <c r="AM13" i="13"/>
  <c r="AL13" i="13"/>
  <c r="AK13" i="13"/>
  <c r="AJ13" i="13"/>
  <c r="AI13" i="13"/>
  <c r="AH13" i="13"/>
  <c r="AG13" i="13"/>
  <c r="AF13" i="13"/>
  <c r="AE13" i="13"/>
  <c r="AD13" i="13"/>
  <c r="AC13" i="13"/>
  <c r="AB13" i="13"/>
  <c r="D69" i="41"/>
  <c r="AA13" i="13"/>
  <c r="Z13" i="13"/>
  <c r="Y13" i="13"/>
  <c r="B59" i="41"/>
  <c r="R13" i="13"/>
  <c r="O2" i="31"/>
  <c r="Q13" i="13"/>
  <c r="P13" i="13"/>
  <c r="O13" i="13"/>
  <c r="N13" i="13"/>
  <c r="M13" i="13"/>
  <c r="L13" i="13"/>
  <c r="K13" i="13"/>
  <c r="J13" i="13"/>
  <c r="I59" i="41"/>
  <c r="I13" i="13"/>
  <c r="H13" i="13"/>
  <c r="G13" i="13"/>
  <c r="I2" i="31"/>
  <c r="F13" i="13"/>
  <c r="G59" i="41"/>
  <c r="AN10" i="27"/>
  <c r="AM10" i="27"/>
  <c r="AL10" i="27"/>
  <c r="AK10" i="27"/>
  <c r="AJ10" i="27"/>
  <c r="AI10" i="27"/>
  <c r="AH10" i="27"/>
  <c r="AG10" i="27"/>
  <c r="AF10" i="27"/>
  <c r="AE10" i="27"/>
  <c r="AD10" i="27"/>
  <c r="AC10" i="27"/>
  <c r="AB10" i="27"/>
  <c r="AA10" i="27"/>
  <c r="Z10" i="27"/>
  <c r="Y10" i="27"/>
  <c r="R10" i="27"/>
  <c r="O10" i="27"/>
  <c r="N10" i="27"/>
  <c r="M10" i="27"/>
  <c r="L10" i="27"/>
  <c r="K10" i="27"/>
  <c r="J10" i="27"/>
  <c r="G10" i="27"/>
  <c r="AN9" i="27"/>
  <c r="AM9" i="27"/>
  <c r="AL9" i="27"/>
  <c r="AK9" i="27"/>
  <c r="AJ9" i="27"/>
  <c r="AI9" i="27"/>
  <c r="AH9" i="27"/>
  <c r="AG9" i="27"/>
  <c r="AF9" i="27"/>
  <c r="AE9" i="27"/>
  <c r="AD9" i="27"/>
  <c r="AC9" i="27"/>
  <c r="AB9" i="27"/>
  <c r="AA9" i="27"/>
  <c r="Z9" i="27"/>
  <c r="Y9" i="27"/>
  <c r="R9" i="27"/>
  <c r="Q9" i="27"/>
  <c r="P9" i="27"/>
  <c r="O9" i="27"/>
  <c r="N9" i="27"/>
  <c r="M9" i="27"/>
  <c r="L9" i="27"/>
  <c r="K9" i="27"/>
  <c r="J9" i="27"/>
  <c r="I9" i="27"/>
  <c r="H9" i="27"/>
  <c r="G9" i="27"/>
  <c r="F10" i="27"/>
  <c r="F9" i="27"/>
  <c r="Q8" i="28"/>
  <c r="P8" i="28"/>
  <c r="I8" i="28"/>
  <c r="H8" i="28"/>
  <c r="AN8" i="28"/>
  <c r="AM8" i="28"/>
  <c r="AL8" i="28"/>
  <c r="AK8" i="28"/>
  <c r="AJ8" i="28"/>
  <c r="AI8" i="28"/>
  <c r="AH8" i="28"/>
  <c r="AG8" i="28"/>
  <c r="AF8" i="28"/>
  <c r="AE8" i="28"/>
  <c r="AD8" i="28"/>
  <c r="AC8" i="28"/>
  <c r="AB8" i="28"/>
  <c r="AA8" i="28"/>
  <c r="Z8" i="28"/>
  <c r="Y8" i="28"/>
  <c r="R8" i="28"/>
  <c r="O8" i="28"/>
  <c r="N8" i="28"/>
  <c r="M8" i="28"/>
  <c r="L8" i="28"/>
  <c r="K8" i="28"/>
  <c r="J8" i="28"/>
  <c r="G8" i="28"/>
  <c r="F8" i="28"/>
  <c r="F14" i="20"/>
  <c r="F13" i="20"/>
  <c r="AN14" i="17"/>
  <c r="AM14" i="17"/>
  <c r="AL14" i="17"/>
  <c r="AK14" i="17"/>
  <c r="AJ14" i="17"/>
  <c r="AI14" i="17"/>
  <c r="AH14" i="17"/>
  <c r="AG14" i="17"/>
  <c r="AF14" i="17"/>
  <c r="AE14" i="17"/>
  <c r="AD14" i="17"/>
  <c r="AC14" i="17"/>
  <c r="AB14" i="17"/>
  <c r="D61" i="41"/>
  <c r="AA14" i="17"/>
  <c r="E61" i="41"/>
  <c r="F61" i="41" s="1"/>
  <c r="Z14" i="17"/>
  <c r="C71" i="41"/>
  <c r="F71" i="41" s="1"/>
  <c r="Y14" i="17"/>
  <c r="R14" i="17"/>
  <c r="O7" i="31"/>
  <c r="Q14" i="17"/>
  <c r="P14" i="17"/>
  <c r="O14" i="17"/>
  <c r="D8" i="32"/>
  <c r="N14" i="17"/>
  <c r="M14" i="17"/>
  <c r="L14" i="17"/>
  <c r="K14" i="17"/>
  <c r="J14" i="17"/>
  <c r="I61" i="41"/>
  <c r="I14" i="17"/>
  <c r="L7" i="31"/>
  <c r="H14" i="17"/>
  <c r="G14" i="17"/>
  <c r="I7" i="31"/>
  <c r="F14" i="17"/>
  <c r="H7" i="31"/>
  <c r="D11" i="41"/>
  <c r="AQ6" i="17" s="1"/>
  <c r="E11" i="41"/>
  <c r="AQ5" i="17" s="1"/>
  <c r="I63" i="41"/>
  <c r="H63" i="41"/>
  <c r="G63" i="41"/>
  <c r="D63" i="41"/>
  <c r="C63" i="41"/>
  <c r="B63" i="41"/>
  <c r="I62" i="41"/>
  <c r="H62" i="41"/>
  <c r="G62" i="41"/>
  <c r="D62" i="41"/>
  <c r="C62" i="41"/>
  <c r="B62" i="41"/>
  <c r="F62" i="41" s="1"/>
  <c r="I60" i="41"/>
  <c r="H60" i="41"/>
  <c r="G60" i="41"/>
  <c r="D60" i="41"/>
  <c r="B60" i="41"/>
  <c r="I58" i="41"/>
  <c r="H58" i="41"/>
  <c r="G58" i="41"/>
  <c r="D58" i="41"/>
  <c r="C58" i="41"/>
  <c r="B58" i="41"/>
  <c r="I73" i="41"/>
  <c r="H73" i="41"/>
  <c r="G73" i="41"/>
  <c r="D73" i="41"/>
  <c r="C73" i="41"/>
  <c r="B73" i="41"/>
  <c r="I72" i="41"/>
  <c r="H72" i="41"/>
  <c r="G72" i="41"/>
  <c r="D72" i="41"/>
  <c r="C72" i="41"/>
  <c r="B72" i="41"/>
  <c r="F72" i="41" s="1"/>
  <c r="I70" i="41"/>
  <c r="H70" i="41"/>
  <c r="G70" i="41"/>
  <c r="D70" i="41"/>
  <c r="B70" i="41"/>
  <c r="I68" i="41"/>
  <c r="H68" i="41"/>
  <c r="G68" i="41"/>
  <c r="D68" i="41"/>
  <c r="C68" i="41"/>
  <c r="B68" i="41"/>
  <c r="AN14" i="23"/>
  <c r="AM14" i="23"/>
  <c r="AL14" i="23"/>
  <c r="AK14" i="23"/>
  <c r="AJ14" i="23"/>
  <c r="AI14" i="23"/>
  <c r="AH14" i="23"/>
  <c r="AG14" i="23"/>
  <c r="AF14" i="23"/>
  <c r="AE14" i="23"/>
  <c r="AD14" i="23"/>
  <c r="AC14" i="23"/>
  <c r="AB14" i="23"/>
  <c r="AA14" i="23"/>
  <c r="Z14" i="23"/>
  <c r="Y14" i="23"/>
  <c r="F14" i="23"/>
  <c r="O7" i="32"/>
  <c r="R7" i="32"/>
  <c r="Q7" i="32"/>
  <c r="O16" i="32"/>
  <c r="Q16" i="32"/>
  <c r="P16" i="32"/>
  <c r="O21" i="32"/>
  <c r="Q21" i="32"/>
  <c r="P21" i="32"/>
  <c r="O8" i="32"/>
  <c r="Q8" i="32"/>
  <c r="O20" i="32"/>
  <c r="Q20" i="32"/>
  <c r="P20" i="32"/>
  <c r="O4" i="32"/>
  <c r="R4" i="32"/>
  <c r="Q4" i="32"/>
  <c r="G17" i="30"/>
  <c r="H23" i="41" s="1"/>
  <c r="AQ8" i="30" s="1"/>
  <c r="Z17" i="30"/>
  <c r="C23" i="41" s="1"/>
  <c r="AQ4" i="30" s="1"/>
  <c r="J9" i="28"/>
  <c r="I21" i="41" s="1"/>
  <c r="AQ9" i="28" s="1"/>
  <c r="AB10" i="36"/>
  <c r="D16" i="41"/>
  <c r="AQ6" i="36" s="1"/>
  <c r="H15" i="41"/>
  <c r="C15" i="41"/>
  <c r="B15" i="41"/>
  <c r="E15" i="41"/>
  <c r="AB18" i="15"/>
  <c r="D14" i="41" s="1"/>
  <c r="AQ6" i="15" s="1"/>
  <c r="G15" i="20"/>
  <c r="H9" i="41" s="1"/>
  <c r="AQ8" i="20" s="1"/>
  <c r="AB8" i="14"/>
  <c r="D5" i="41"/>
  <c r="AQ6" i="14" s="1"/>
  <c r="G19" i="10"/>
  <c r="H4" i="41" s="1"/>
  <c r="AQ8" i="10" s="1"/>
  <c r="AN11" i="29"/>
  <c r="AM11" i="29"/>
  <c r="AL11" i="29"/>
  <c r="AK11" i="29"/>
  <c r="AJ11" i="29"/>
  <c r="AI11" i="29"/>
  <c r="AH11" i="29"/>
  <c r="AG11" i="29"/>
  <c r="AF11" i="29"/>
  <c r="AE11" i="29"/>
  <c r="AD11" i="29"/>
  <c r="AC11" i="29"/>
  <c r="AB11" i="29"/>
  <c r="D22" i="41"/>
  <c r="AQ6" i="29" s="1"/>
  <c r="AA11" i="29"/>
  <c r="E22" i="41" s="1"/>
  <c r="AQ5" i="29" s="1"/>
  <c r="Z11" i="29"/>
  <c r="C22" i="41" s="1"/>
  <c r="Y11" i="29"/>
  <c r="B22" i="41"/>
  <c r="AQ3" i="29"/>
  <c r="R11" i="29"/>
  <c r="Q11" i="29"/>
  <c r="P11" i="29"/>
  <c r="O11" i="29"/>
  <c r="N11" i="29"/>
  <c r="M11" i="29"/>
  <c r="L11" i="29"/>
  <c r="K11" i="29"/>
  <c r="J11" i="29"/>
  <c r="I22" i="41" s="1"/>
  <c r="AQ9" i="29" s="1"/>
  <c r="I11" i="29"/>
  <c r="H11" i="29"/>
  <c r="G11" i="29"/>
  <c r="H22" i="41"/>
  <c r="AQ8" i="29" s="1"/>
  <c r="F11" i="29"/>
  <c r="G22" i="41" s="1"/>
  <c r="AQ7" i="29" s="1"/>
  <c r="AN10" i="29"/>
  <c r="AM10" i="29"/>
  <c r="AL10" i="29"/>
  <c r="AK10" i="29"/>
  <c r="AJ10" i="29"/>
  <c r="AI10" i="29"/>
  <c r="AH10" i="29"/>
  <c r="AG10" i="29"/>
  <c r="AF10" i="29"/>
  <c r="AE10" i="29"/>
  <c r="AD10" i="29"/>
  <c r="AC10" i="29"/>
  <c r="AB10" i="29"/>
  <c r="AA10" i="29"/>
  <c r="Z10" i="29"/>
  <c r="Y10" i="29"/>
  <c r="R10" i="29"/>
  <c r="Q10" i="29"/>
  <c r="P10" i="29"/>
  <c r="O10" i="29"/>
  <c r="N10" i="29"/>
  <c r="M10" i="29"/>
  <c r="L10" i="29"/>
  <c r="K10" i="29"/>
  <c r="J10" i="29"/>
  <c r="I10" i="29"/>
  <c r="H10" i="29"/>
  <c r="G10" i="29"/>
  <c r="F10" i="29"/>
  <c r="R8" i="12"/>
  <c r="O8" i="12"/>
  <c r="N8" i="12"/>
  <c r="M8" i="12"/>
  <c r="L8" i="12"/>
  <c r="K8" i="12"/>
  <c r="J8" i="12"/>
  <c r="I7" i="41" s="1"/>
  <c r="AQ9" i="12" s="1"/>
  <c r="G8" i="12"/>
  <c r="H7" i="41" s="1"/>
  <c r="AQ8" i="12" s="1"/>
  <c r="F8" i="12"/>
  <c r="G7" i="41" s="1"/>
  <c r="AQ7" i="12" s="1"/>
  <c r="AN8" i="12"/>
  <c r="AM8" i="12"/>
  <c r="AL8" i="12"/>
  <c r="AK8" i="12"/>
  <c r="AJ8" i="12"/>
  <c r="AI8" i="12"/>
  <c r="AH8" i="12"/>
  <c r="AG8" i="12"/>
  <c r="AF8" i="12"/>
  <c r="AE8" i="12"/>
  <c r="AD8" i="12"/>
  <c r="AC8" i="12"/>
  <c r="AB8" i="12"/>
  <c r="D7" i="41"/>
  <c r="AQ6" i="12" s="1"/>
  <c r="AA8" i="12"/>
  <c r="E7" i="41"/>
  <c r="AQ5" i="12" s="1"/>
  <c r="Z8" i="12"/>
  <c r="C7" i="41"/>
  <c r="AQ4" i="12" s="1"/>
  <c r="Y8" i="12"/>
  <c r="B7" i="41" s="1"/>
  <c r="R15" i="20"/>
  <c r="Q15" i="20"/>
  <c r="P15" i="20"/>
  <c r="O15" i="20"/>
  <c r="N15" i="20"/>
  <c r="M15" i="20"/>
  <c r="L15" i="20"/>
  <c r="K15" i="20"/>
  <c r="J15" i="20"/>
  <c r="I9" i="41" s="1"/>
  <c r="AQ9" i="20" s="1"/>
  <c r="I15" i="20"/>
  <c r="H15" i="20"/>
  <c r="F15" i="20"/>
  <c r="G9" i="41"/>
  <c r="AQ7" i="20" s="1"/>
  <c r="AN15" i="20"/>
  <c r="AM15" i="20"/>
  <c r="AL15" i="20"/>
  <c r="AK15" i="20"/>
  <c r="AJ15" i="20"/>
  <c r="AI15" i="20"/>
  <c r="AH15" i="20"/>
  <c r="AG15" i="20"/>
  <c r="AF15" i="20"/>
  <c r="AE15" i="20"/>
  <c r="AD15" i="20"/>
  <c r="AC15" i="20"/>
  <c r="AB15" i="20"/>
  <c r="D9" i="41" s="1"/>
  <c r="AQ6" i="20" s="1"/>
  <c r="AA15" i="20"/>
  <c r="E9" i="41" s="1"/>
  <c r="AQ5" i="20" s="1"/>
  <c r="Z15" i="20"/>
  <c r="C9" i="41" s="1"/>
  <c r="AQ4" i="20" s="1"/>
  <c r="Y15" i="20"/>
  <c r="B9" i="41" s="1"/>
  <c r="AQ3" i="20" s="1"/>
  <c r="N7" i="31"/>
  <c r="AN9" i="36"/>
  <c r="AM9" i="36"/>
  <c r="AL9" i="36"/>
  <c r="AK9" i="36"/>
  <c r="AJ9" i="36"/>
  <c r="AI9" i="36"/>
  <c r="AH9" i="36"/>
  <c r="AG9" i="36"/>
  <c r="AF9" i="36"/>
  <c r="AE9" i="36"/>
  <c r="AD9" i="36"/>
  <c r="AC9" i="36"/>
  <c r="AB9" i="36"/>
  <c r="AA9" i="36"/>
  <c r="Z9" i="36"/>
  <c r="Y9" i="36"/>
  <c r="R9" i="36"/>
  <c r="Q9" i="36"/>
  <c r="P9" i="36"/>
  <c r="O9" i="36"/>
  <c r="N9" i="36"/>
  <c r="M9" i="36"/>
  <c r="L9" i="36"/>
  <c r="K9" i="36"/>
  <c r="J9" i="36"/>
  <c r="I9" i="36"/>
  <c r="H9" i="36"/>
  <c r="G9" i="36"/>
  <c r="F9" i="36"/>
  <c r="Y18" i="15"/>
  <c r="B14" i="41" s="1"/>
  <c r="AQ3" i="15" s="1"/>
  <c r="D10" i="41"/>
  <c r="AQ6" i="16" s="1"/>
  <c r="E10" i="41"/>
  <c r="AQ5" i="16" s="1"/>
  <c r="C10" i="41"/>
  <c r="B10" i="41"/>
  <c r="AQ3" i="16" s="1"/>
  <c r="I10" i="41"/>
  <c r="AQ9" i="16" s="1"/>
  <c r="H10" i="41"/>
  <c r="AQ8" i="16" s="1"/>
  <c r="G10" i="41"/>
  <c r="AQ7" i="16" s="1"/>
  <c r="AN15" i="13"/>
  <c r="AM15" i="13"/>
  <c r="AL15" i="13"/>
  <c r="AK15" i="13"/>
  <c r="AJ15" i="13"/>
  <c r="AI15" i="13"/>
  <c r="AH15" i="13"/>
  <c r="AG15" i="13"/>
  <c r="AF15" i="13"/>
  <c r="AE15" i="13"/>
  <c r="AD15" i="13"/>
  <c r="AC15" i="13"/>
  <c r="AB15" i="13"/>
  <c r="D8" i="41" s="1"/>
  <c r="AQ6" i="13" s="1"/>
  <c r="AA15" i="13"/>
  <c r="E8" i="41" s="1"/>
  <c r="AQ5" i="13" s="1"/>
  <c r="Z15" i="13"/>
  <c r="C8" i="41"/>
  <c r="AQ4" i="13" s="1"/>
  <c r="Y15" i="13"/>
  <c r="B8" i="41" s="1"/>
  <c r="AQ3" i="13" s="1"/>
  <c r="R15" i="13"/>
  <c r="Q15" i="13"/>
  <c r="P15" i="13"/>
  <c r="O15" i="13"/>
  <c r="N15" i="13"/>
  <c r="M15" i="13"/>
  <c r="L15" i="13"/>
  <c r="K15" i="13"/>
  <c r="J15" i="13"/>
  <c r="I8" i="41"/>
  <c r="AQ9" i="13" s="1"/>
  <c r="I15" i="13"/>
  <c r="H15" i="13"/>
  <c r="G15" i="13"/>
  <c r="H8" i="41" s="1"/>
  <c r="AQ8" i="13" s="1"/>
  <c r="F15" i="13"/>
  <c r="G8" i="41" s="1"/>
  <c r="AQ7" i="13" s="1"/>
  <c r="AN8" i="14"/>
  <c r="AM8" i="14"/>
  <c r="AL8" i="14"/>
  <c r="AK8" i="14"/>
  <c r="AJ8" i="14"/>
  <c r="AI8" i="14"/>
  <c r="AH8" i="14"/>
  <c r="AG8" i="14"/>
  <c r="AF8" i="14"/>
  <c r="AE8" i="14"/>
  <c r="AD8" i="14"/>
  <c r="AC8" i="14"/>
  <c r="AA8" i="14"/>
  <c r="E5" i="41" s="1"/>
  <c r="AQ5" i="14" s="1"/>
  <c r="Z8" i="14"/>
  <c r="C5" i="41" s="1"/>
  <c r="AQ4" i="14" s="1"/>
  <c r="Y8" i="14"/>
  <c r="B5" i="41" s="1"/>
  <c r="AQ3" i="14" s="1"/>
  <c r="R8" i="14"/>
  <c r="Q8" i="14"/>
  <c r="P8" i="14"/>
  <c r="O8" i="14"/>
  <c r="N8" i="14"/>
  <c r="M8" i="14"/>
  <c r="L8" i="14"/>
  <c r="K8" i="14"/>
  <c r="J8" i="14"/>
  <c r="I5" i="41"/>
  <c r="AQ9" i="14" s="1"/>
  <c r="I8" i="14"/>
  <c r="H8" i="14"/>
  <c r="G8" i="14"/>
  <c r="H5" i="41" s="1"/>
  <c r="AQ8" i="14" s="1"/>
  <c r="F8" i="14"/>
  <c r="G5" i="41" s="1"/>
  <c r="AQ7" i="14" s="1"/>
  <c r="AN10" i="36"/>
  <c r="AM10" i="36"/>
  <c r="AL10" i="36"/>
  <c r="AK10" i="36"/>
  <c r="AJ10" i="36"/>
  <c r="AI10" i="36"/>
  <c r="AH10" i="36"/>
  <c r="AG10" i="36"/>
  <c r="AF10" i="36"/>
  <c r="AE10" i="36"/>
  <c r="AD10" i="36"/>
  <c r="AC10" i="36"/>
  <c r="AA10" i="36"/>
  <c r="E16" i="41"/>
  <c r="AQ5" i="36" s="1"/>
  <c r="Z10" i="36"/>
  <c r="C16" i="41"/>
  <c r="Y10" i="36"/>
  <c r="B16" i="41"/>
  <c r="AQ3" i="36"/>
  <c r="R10" i="36"/>
  <c r="Q10" i="36"/>
  <c r="P10" i="36"/>
  <c r="O10" i="36"/>
  <c r="N10" i="36"/>
  <c r="M10" i="36"/>
  <c r="L10" i="36"/>
  <c r="K10" i="36"/>
  <c r="J10" i="36"/>
  <c r="I16" i="41"/>
  <c r="AQ9" i="36"/>
  <c r="I10" i="36"/>
  <c r="H10" i="36"/>
  <c r="G10" i="36"/>
  <c r="H16" i="41"/>
  <c r="AQ8" i="36"/>
  <c r="F10" i="36"/>
  <c r="G16" i="41"/>
  <c r="AQ7" i="36"/>
  <c r="F8" i="36"/>
  <c r="AN9" i="28"/>
  <c r="AM9" i="28"/>
  <c r="AL9" i="28"/>
  <c r="AK9" i="28"/>
  <c r="AJ9" i="28"/>
  <c r="AI9" i="28"/>
  <c r="AH9" i="28"/>
  <c r="AG9" i="28"/>
  <c r="AF9" i="28"/>
  <c r="AE9" i="28"/>
  <c r="AD9" i="28"/>
  <c r="AC9" i="28"/>
  <c r="AB9" i="28"/>
  <c r="D21" i="41" s="1"/>
  <c r="AQ6" i="28" s="1"/>
  <c r="AA9" i="28"/>
  <c r="E21" i="41" s="1"/>
  <c r="AQ5" i="28" s="1"/>
  <c r="Z9" i="28"/>
  <c r="C21" i="41" s="1"/>
  <c r="Y9" i="28"/>
  <c r="B21" i="41" s="1"/>
  <c r="AQ3" i="28" s="1"/>
  <c r="R9" i="28"/>
  <c r="Q9" i="28"/>
  <c r="P9" i="28"/>
  <c r="O9" i="28"/>
  <c r="N9" i="28"/>
  <c r="M9" i="28"/>
  <c r="L9" i="28"/>
  <c r="K9" i="28"/>
  <c r="I9" i="28"/>
  <c r="H9" i="28"/>
  <c r="G9" i="28"/>
  <c r="H21" i="41" s="1"/>
  <c r="AQ8" i="28" s="1"/>
  <c r="F9" i="28"/>
  <c r="G21" i="41" s="1"/>
  <c r="AQ7" i="28" s="1"/>
  <c r="AN19" i="10"/>
  <c r="AM19" i="10"/>
  <c r="AL19" i="10"/>
  <c r="AK19" i="10"/>
  <c r="AJ19" i="10"/>
  <c r="AI19" i="10"/>
  <c r="AH19" i="10"/>
  <c r="AG19" i="10"/>
  <c r="AF19" i="10"/>
  <c r="AE19" i="10"/>
  <c r="AD19" i="10"/>
  <c r="AC19" i="10"/>
  <c r="AB19" i="10"/>
  <c r="D4" i="41" s="1"/>
  <c r="AQ6" i="10" s="1"/>
  <c r="AA19" i="10"/>
  <c r="E4" i="41" s="1"/>
  <c r="AQ5" i="10" s="1"/>
  <c r="Z19" i="10"/>
  <c r="C4" i="41" s="1"/>
  <c r="AQ4" i="10" s="1"/>
  <c r="Y19" i="10"/>
  <c r="B4" i="41" s="1"/>
  <c r="R19" i="10"/>
  <c r="Q19" i="10"/>
  <c r="P19" i="10"/>
  <c r="O19" i="10"/>
  <c r="N19" i="10"/>
  <c r="M19" i="10"/>
  <c r="L19" i="10"/>
  <c r="K19" i="10"/>
  <c r="J19" i="10"/>
  <c r="I4" i="41" s="1"/>
  <c r="AQ9" i="10" s="1"/>
  <c r="I19" i="10"/>
  <c r="H19" i="10"/>
  <c r="F19" i="10"/>
  <c r="G4" i="41"/>
  <c r="AQ7" i="10" s="1"/>
  <c r="AN18" i="15"/>
  <c r="AM18" i="15"/>
  <c r="AL18" i="15"/>
  <c r="AK18" i="15"/>
  <c r="AJ18" i="15"/>
  <c r="AI18" i="15"/>
  <c r="AH18" i="15"/>
  <c r="AG18" i="15"/>
  <c r="AF18" i="15"/>
  <c r="AE18" i="15"/>
  <c r="AD18" i="15"/>
  <c r="AC18" i="15"/>
  <c r="AA18" i="15"/>
  <c r="E14" i="41" s="1"/>
  <c r="AQ5" i="15" s="1"/>
  <c r="Z18" i="15"/>
  <c r="C14" i="41" s="1"/>
  <c r="AQ4" i="15" s="1"/>
  <c r="R18" i="15"/>
  <c r="Q18" i="15"/>
  <c r="P18" i="15"/>
  <c r="O18" i="15"/>
  <c r="N18" i="15"/>
  <c r="M18" i="15"/>
  <c r="L18" i="15"/>
  <c r="K18" i="15"/>
  <c r="J18" i="15"/>
  <c r="I14" i="41" s="1"/>
  <c r="AQ9" i="15" s="1"/>
  <c r="I18" i="15"/>
  <c r="H18" i="15"/>
  <c r="G18" i="15"/>
  <c r="H14" i="41" s="1"/>
  <c r="AQ8" i="15" s="1"/>
  <c r="F18" i="15"/>
  <c r="G14" i="41" s="1"/>
  <c r="AQ7" i="15" s="1"/>
  <c r="AN17" i="9"/>
  <c r="AM17" i="9"/>
  <c r="AL17" i="9"/>
  <c r="AK17" i="9"/>
  <c r="AJ17" i="9"/>
  <c r="AI17" i="9"/>
  <c r="AH17" i="9"/>
  <c r="AG17" i="9"/>
  <c r="AF17" i="9"/>
  <c r="AE17" i="9"/>
  <c r="AD17" i="9"/>
  <c r="AC17" i="9"/>
  <c r="AB17" i="9"/>
  <c r="D3" i="41" s="1"/>
  <c r="AQ6" i="9" s="1"/>
  <c r="AA17" i="9"/>
  <c r="E3" i="41" s="1"/>
  <c r="AQ5" i="9" s="1"/>
  <c r="Z17" i="9"/>
  <c r="C3" i="41" s="1"/>
  <c r="AQ4" i="9" s="1"/>
  <c r="Y17" i="9"/>
  <c r="B3" i="41" s="1"/>
  <c r="R17" i="9"/>
  <c r="Q17" i="9"/>
  <c r="P17" i="9"/>
  <c r="O17" i="9"/>
  <c r="N17" i="9"/>
  <c r="M17" i="9"/>
  <c r="L17" i="9"/>
  <c r="K17" i="9"/>
  <c r="J17" i="9"/>
  <c r="I3" i="41" s="1"/>
  <c r="AQ9" i="9" s="1"/>
  <c r="I17" i="9"/>
  <c r="H17" i="9"/>
  <c r="G17" i="9"/>
  <c r="H3" i="41" s="1"/>
  <c r="AQ8" i="9" s="1"/>
  <c r="F17" i="9"/>
  <c r="G3" i="41" s="1"/>
  <c r="AQ7" i="9" s="1"/>
  <c r="AN9" i="24"/>
  <c r="AM9" i="24"/>
  <c r="AL9" i="24"/>
  <c r="AK9" i="24"/>
  <c r="AJ9" i="24"/>
  <c r="AI9" i="24"/>
  <c r="AH9" i="24"/>
  <c r="AG9" i="24"/>
  <c r="AF9" i="24"/>
  <c r="AE9" i="24"/>
  <c r="AD9" i="24"/>
  <c r="AC9" i="24"/>
  <c r="AB9" i="24"/>
  <c r="AA9" i="24"/>
  <c r="Z9" i="24"/>
  <c r="Y9" i="24"/>
  <c r="R9" i="24"/>
  <c r="O9" i="24"/>
  <c r="N9" i="24"/>
  <c r="M9" i="24"/>
  <c r="L9" i="24"/>
  <c r="K9" i="24"/>
  <c r="J9" i="24"/>
  <c r="G9" i="24"/>
  <c r="F9" i="24"/>
  <c r="AN8" i="36"/>
  <c r="AM8" i="36"/>
  <c r="AL8" i="36"/>
  <c r="AK8" i="36"/>
  <c r="AJ8" i="36"/>
  <c r="AI8" i="36"/>
  <c r="AH8" i="36"/>
  <c r="AG8" i="36"/>
  <c r="AF8" i="36"/>
  <c r="AE8" i="36"/>
  <c r="AD8" i="36"/>
  <c r="AC8" i="36"/>
  <c r="AB8" i="36"/>
  <c r="AA8" i="36"/>
  <c r="Z8" i="36"/>
  <c r="Y8" i="36"/>
  <c r="R8" i="36"/>
  <c r="Q8" i="36"/>
  <c r="P8" i="36"/>
  <c r="O8" i="36"/>
  <c r="N8" i="36"/>
  <c r="M8" i="36"/>
  <c r="L8" i="36"/>
  <c r="K8" i="36"/>
  <c r="J8" i="36"/>
  <c r="I8" i="36"/>
  <c r="H8" i="36"/>
  <c r="G8" i="36"/>
  <c r="AN16" i="11"/>
  <c r="AM16" i="11"/>
  <c r="AL16" i="11"/>
  <c r="AK16" i="11"/>
  <c r="AJ16" i="11"/>
  <c r="AI16" i="11"/>
  <c r="AH16" i="11"/>
  <c r="AG16" i="11"/>
  <c r="AF16" i="11"/>
  <c r="AE16" i="11"/>
  <c r="AD16" i="11"/>
  <c r="AC16" i="11"/>
  <c r="AB16" i="11"/>
  <c r="AA16" i="11"/>
  <c r="Z16" i="11"/>
  <c r="Y16" i="11"/>
  <c r="R16" i="11"/>
  <c r="O16" i="11"/>
  <c r="N16" i="11"/>
  <c r="M16" i="11"/>
  <c r="L16" i="11"/>
  <c r="K16" i="11"/>
  <c r="J16" i="11"/>
  <c r="G16" i="11"/>
  <c r="F16" i="11"/>
  <c r="E58" i="41"/>
  <c r="D4" i="31"/>
  <c r="O4" i="31"/>
  <c r="L4" i="31"/>
  <c r="K4" i="31"/>
  <c r="AN18" i="26"/>
  <c r="AM18" i="26"/>
  <c r="AL18" i="26"/>
  <c r="AK18" i="26"/>
  <c r="AJ18" i="26"/>
  <c r="AI18" i="26"/>
  <c r="AH18" i="26"/>
  <c r="AG18" i="26"/>
  <c r="AF18" i="26"/>
  <c r="AE18" i="26"/>
  <c r="AD18" i="26"/>
  <c r="AC18" i="26"/>
  <c r="AB18" i="26"/>
  <c r="D19" i="41" s="1"/>
  <c r="AQ6" i="26" s="1"/>
  <c r="AA18" i="26"/>
  <c r="E19" i="41" s="1"/>
  <c r="AQ5" i="26" s="1"/>
  <c r="Z18" i="26"/>
  <c r="C19" i="41"/>
  <c r="AQ4" i="26" s="1"/>
  <c r="Y18" i="26"/>
  <c r="B19" i="41" s="1"/>
  <c r="R18" i="26"/>
  <c r="Q18" i="26"/>
  <c r="P18" i="26"/>
  <c r="O18" i="26"/>
  <c r="N18" i="26"/>
  <c r="M18" i="26"/>
  <c r="L18" i="26"/>
  <c r="K18" i="26"/>
  <c r="J18" i="26"/>
  <c r="I19" i="41"/>
  <c r="AQ9" i="26" s="1"/>
  <c r="I18" i="26"/>
  <c r="H18" i="26"/>
  <c r="G18" i="26"/>
  <c r="H19" i="41" s="1"/>
  <c r="AQ8" i="26" s="1"/>
  <c r="F18" i="26"/>
  <c r="G19" i="41" s="1"/>
  <c r="AQ7" i="26" s="1"/>
  <c r="E69" i="41"/>
  <c r="L2" i="31"/>
  <c r="K2" i="31"/>
  <c r="F3" i="31"/>
  <c r="D4" i="32"/>
  <c r="F4" i="32"/>
  <c r="L3" i="31"/>
  <c r="K3" i="31"/>
  <c r="AN11" i="27"/>
  <c r="AM11" i="27"/>
  <c r="AL11" i="27"/>
  <c r="AK11" i="27"/>
  <c r="AJ11" i="27"/>
  <c r="AI11" i="27"/>
  <c r="AH11" i="27"/>
  <c r="AG11" i="27"/>
  <c r="AF11" i="27"/>
  <c r="AE11" i="27"/>
  <c r="AD11" i="27"/>
  <c r="AC11" i="27"/>
  <c r="AB11" i="27"/>
  <c r="D20" i="41" s="1"/>
  <c r="AQ6" i="27" s="1"/>
  <c r="AA11" i="27"/>
  <c r="E20" i="41" s="1"/>
  <c r="AQ5" i="27" s="1"/>
  <c r="Z11" i="27"/>
  <c r="C20" i="41" s="1"/>
  <c r="AQ4" i="27" s="1"/>
  <c r="Y11" i="27"/>
  <c r="B20" i="41" s="1"/>
  <c r="AQ3" i="27" s="1"/>
  <c r="R11" i="27"/>
  <c r="Q11" i="27"/>
  <c r="P11" i="27"/>
  <c r="O11" i="27"/>
  <c r="N11" i="27"/>
  <c r="M11" i="27"/>
  <c r="L11" i="27"/>
  <c r="K11" i="27"/>
  <c r="J11" i="27"/>
  <c r="I20" i="41" s="1"/>
  <c r="AQ9" i="27" s="1"/>
  <c r="I11" i="27"/>
  <c r="H11" i="27"/>
  <c r="G11" i="27"/>
  <c r="H20" i="41" s="1"/>
  <c r="AQ8" i="27" s="1"/>
  <c r="F11" i="27"/>
  <c r="G20" i="41" s="1"/>
  <c r="AQ7" i="27" s="1"/>
  <c r="E73" i="41"/>
  <c r="F73" i="41" s="1"/>
  <c r="D6" i="31"/>
  <c r="D6" i="32"/>
  <c r="B6" i="32"/>
  <c r="L6" i="31"/>
  <c r="K6" i="31"/>
  <c r="AN17" i="30"/>
  <c r="AM17" i="30"/>
  <c r="AL17" i="30"/>
  <c r="AK17" i="30"/>
  <c r="AJ17" i="30"/>
  <c r="AI17" i="30"/>
  <c r="AH17" i="30"/>
  <c r="AG17" i="30"/>
  <c r="AF17" i="30"/>
  <c r="AE17" i="30"/>
  <c r="AD17" i="30"/>
  <c r="AC17" i="30"/>
  <c r="AB17" i="30"/>
  <c r="D23" i="41"/>
  <c r="AQ6" i="30" s="1"/>
  <c r="AA17" i="30"/>
  <c r="E23" i="41" s="1"/>
  <c r="AQ5" i="30" s="1"/>
  <c r="Y17" i="30"/>
  <c r="B23" i="41" s="1"/>
  <c r="R17" i="30"/>
  <c r="Q17" i="30"/>
  <c r="P17" i="30"/>
  <c r="O17" i="30"/>
  <c r="N17" i="30"/>
  <c r="M17" i="30"/>
  <c r="L17" i="30"/>
  <c r="K17" i="30"/>
  <c r="J17" i="30"/>
  <c r="I23" i="41" s="1"/>
  <c r="AQ9" i="30" s="1"/>
  <c r="I17" i="30"/>
  <c r="H17" i="30"/>
  <c r="F17" i="30"/>
  <c r="G23" i="41" s="1"/>
  <c r="AQ7" i="30" s="1"/>
  <c r="AN16" i="30"/>
  <c r="AM16" i="30"/>
  <c r="AL16" i="30"/>
  <c r="AK16" i="30"/>
  <c r="AJ16" i="30"/>
  <c r="AI16" i="30"/>
  <c r="AH16" i="30"/>
  <c r="AG16" i="30"/>
  <c r="AF16" i="30"/>
  <c r="AE16" i="30"/>
  <c r="AD16" i="30"/>
  <c r="AC16" i="30"/>
  <c r="AB16" i="30"/>
  <c r="AA16" i="30"/>
  <c r="Z16" i="30"/>
  <c r="Y16" i="30"/>
  <c r="R16" i="30"/>
  <c r="O16" i="30"/>
  <c r="N16" i="30"/>
  <c r="M16" i="30"/>
  <c r="L16" i="30"/>
  <c r="K16" i="30"/>
  <c r="J16" i="30"/>
  <c r="G16" i="30"/>
  <c r="F16" i="30"/>
  <c r="D15" i="41"/>
  <c r="I15" i="41"/>
  <c r="G15" i="41"/>
  <c r="Q8" i="12"/>
  <c r="P8" i="12"/>
  <c r="I8" i="12"/>
  <c r="H8" i="12"/>
  <c r="AN15" i="9"/>
  <c r="AM15" i="9"/>
  <c r="AL15" i="9"/>
  <c r="AK15" i="9"/>
  <c r="AJ15" i="9"/>
  <c r="AI15" i="9"/>
  <c r="AH15" i="9"/>
  <c r="AG15" i="9"/>
  <c r="AF15" i="9"/>
  <c r="AE15" i="9"/>
  <c r="AD15" i="9"/>
  <c r="AC15" i="9"/>
  <c r="AB15" i="9"/>
  <c r="AA15" i="9"/>
  <c r="Z15" i="9"/>
  <c r="Y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F5" i="31"/>
  <c r="E72" i="41"/>
  <c r="Q17" i="25"/>
  <c r="P17" i="25"/>
  <c r="D5" i="32"/>
  <c r="F5" i="32"/>
  <c r="N5" i="31"/>
  <c r="I17" i="25"/>
  <c r="H17" i="25"/>
  <c r="H5" i="31"/>
  <c r="O9" i="32"/>
  <c r="R9" i="32"/>
  <c r="AN17" i="25"/>
  <c r="AM17" i="25"/>
  <c r="AL17" i="25"/>
  <c r="AK17" i="25"/>
  <c r="AJ17" i="25"/>
  <c r="AI17" i="25"/>
  <c r="AH17" i="25"/>
  <c r="AG17" i="25"/>
  <c r="AF17" i="25"/>
  <c r="AE17" i="25"/>
  <c r="AD17" i="25"/>
  <c r="AC17" i="25"/>
  <c r="AB17" i="25"/>
  <c r="D18" i="41" s="1"/>
  <c r="AQ6" i="25" s="1"/>
  <c r="AA17" i="25"/>
  <c r="E18" i="41" s="1"/>
  <c r="AQ5" i="25" s="1"/>
  <c r="Z17" i="25"/>
  <c r="C18" i="41" s="1"/>
  <c r="AQ4" i="25" s="1"/>
  <c r="Y17" i="25"/>
  <c r="B18" i="41" s="1"/>
  <c r="R17" i="25"/>
  <c r="O17" i="25"/>
  <c r="N17" i="25"/>
  <c r="M17" i="25"/>
  <c r="L17" i="25"/>
  <c r="K17" i="25"/>
  <c r="J17" i="25"/>
  <c r="I18" i="41" s="1"/>
  <c r="AQ9" i="25" s="1"/>
  <c r="G17" i="25"/>
  <c r="H18" i="41"/>
  <c r="AQ8" i="25" s="1"/>
  <c r="F17" i="25"/>
  <c r="G18" i="41" s="1"/>
  <c r="AQ7" i="25" s="1"/>
  <c r="C11" i="41"/>
  <c r="AQ4" i="17" s="1"/>
  <c r="B11" i="41"/>
  <c r="AQ3" i="17" s="1"/>
  <c r="I11" i="41"/>
  <c r="AQ9" i="17"/>
  <c r="H11" i="41"/>
  <c r="AQ8" i="17" s="1"/>
  <c r="G11" i="41"/>
  <c r="AQ7" i="17"/>
  <c r="K7" i="31"/>
  <c r="B7" i="32"/>
  <c r="F7" i="32"/>
  <c r="AT9" i="10"/>
  <c r="N3" i="31"/>
  <c r="O6" i="31"/>
  <c r="H6" i="31"/>
  <c r="O5" i="31"/>
  <c r="K5" i="31"/>
  <c r="AT5" i="30"/>
  <c r="AT6" i="30"/>
  <c r="AT7" i="30"/>
  <c r="AT3" i="29"/>
  <c r="AT7" i="28"/>
  <c r="AT6" i="27"/>
  <c r="AT5" i="27"/>
  <c r="AT4" i="27"/>
  <c r="AT8" i="27"/>
  <c r="AT7" i="27"/>
  <c r="AT9" i="28"/>
  <c r="AT8" i="28"/>
  <c r="AT4" i="28"/>
  <c r="AT9" i="27"/>
  <c r="AT7" i="29"/>
  <c r="AT6" i="29"/>
  <c r="AT4" i="29"/>
  <c r="AT8" i="29"/>
  <c r="AT6" i="26"/>
  <c r="AT4" i="26"/>
  <c r="AT9" i="29"/>
  <c r="AT7" i="25"/>
  <c r="AT6" i="25"/>
  <c r="AT3" i="25"/>
  <c r="AT9" i="25"/>
  <c r="AT4" i="25"/>
  <c r="F52" i="41"/>
  <c r="F47" i="41"/>
  <c r="F41" i="41"/>
  <c r="F37" i="41"/>
  <c r="E17" i="41"/>
  <c r="AQ5" i="24" s="1"/>
  <c r="C17" i="41"/>
  <c r="B17" i="41"/>
  <c r="AQ3" i="24" s="1"/>
  <c r="I17" i="41"/>
  <c r="AQ9" i="24" s="1"/>
  <c r="H17" i="41"/>
  <c r="AQ8" i="24" s="1"/>
  <c r="G17" i="41"/>
  <c r="AQ7" i="24" s="1"/>
  <c r="AT5" i="24"/>
  <c r="AT4" i="24"/>
  <c r="AT3" i="24"/>
  <c r="AT9" i="24"/>
  <c r="AT8" i="24"/>
  <c r="AT4" i="36"/>
  <c r="F42" i="41"/>
  <c r="D13" i="41"/>
  <c r="AQ6" i="35" s="1"/>
  <c r="E13" i="41"/>
  <c r="AQ5" i="35" s="1"/>
  <c r="C13" i="41"/>
  <c r="AQ4" i="35" s="1"/>
  <c r="B13" i="41"/>
  <c r="AQ3" i="35" s="1"/>
  <c r="Q8" i="35"/>
  <c r="P8" i="35"/>
  <c r="I13" i="41"/>
  <c r="AQ9" i="35" s="1"/>
  <c r="I8" i="35"/>
  <c r="H8" i="35"/>
  <c r="H13" i="41"/>
  <c r="AQ8" i="35" s="1"/>
  <c r="G13" i="41"/>
  <c r="AQ7" i="35" s="1"/>
  <c r="AT6" i="15"/>
  <c r="AT7" i="35"/>
  <c r="AT5" i="15"/>
  <c r="AT3" i="35"/>
  <c r="AT6" i="24"/>
  <c r="AT4" i="35"/>
  <c r="AT3" i="15"/>
  <c r="AT9" i="15"/>
  <c r="AT3" i="36"/>
  <c r="AT7" i="36"/>
  <c r="AT6" i="36"/>
  <c r="AT9" i="36"/>
  <c r="AT7" i="24"/>
  <c r="AT8" i="36"/>
  <c r="AT8" i="15"/>
  <c r="AT9" i="35"/>
  <c r="AT8" i="35"/>
  <c r="AN10" i="18"/>
  <c r="AM10" i="18"/>
  <c r="AL10" i="18"/>
  <c r="AK10" i="18"/>
  <c r="AJ10" i="18"/>
  <c r="AI10" i="18"/>
  <c r="AH10" i="18"/>
  <c r="AG10" i="18"/>
  <c r="AF10" i="18"/>
  <c r="AE10" i="18"/>
  <c r="AD10" i="18"/>
  <c r="AC10" i="18"/>
  <c r="AB10" i="18"/>
  <c r="D12" i="41" s="1"/>
  <c r="AQ6" i="18" s="1"/>
  <c r="AA10" i="18"/>
  <c r="E12" i="41" s="1"/>
  <c r="AQ5" i="18" s="1"/>
  <c r="Z10" i="18"/>
  <c r="C12" i="41" s="1"/>
  <c r="AQ4" i="18" s="1"/>
  <c r="Y10" i="18"/>
  <c r="B12" i="41"/>
  <c r="AQ3" i="18" s="1"/>
  <c r="R10" i="18"/>
  <c r="Q10" i="18"/>
  <c r="P10" i="18"/>
  <c r="O10" i="18"/>
  <c r="N10" i="18"/>
  <c r="M10" i="18"/>
  <c r="L10" i="18"/>
  <c r="K10" i="18"/>
  <c r="J10" i="18"/>
  <c r="I12" i="41" s="1"/>
  <c r="AQ9" i="18" s="1"/>
  <c r="I10" i="18"/>
  <c r="H10" i="18"/>
  <c r="G10" i="18"/>
  <c r="H12" i="41" s="1"/>
  <c r="AQ8" i="18" s="1"/>
  <c r="F10" i="18"/>
  <c r="G12" i="41" s="1"/>
  <c r="AQ7" i="18" s="1"/>
  <c r="AT6" i="18"/>
  <c r="AT7" i="18"/>
  <c r="AT6" i="17"/>
  <c r="AT5" i="17"/>
  <c r="AT3" i="17"/>
  <c r="AT9" i="17"/>
  <c r="AT8" i="17"/>
  <c r="AT7" i="17"/>
  <c r="AT5" i="16"/>
  <c r="AT9" i="16"/>
  <c r="AT9" i="18"/>
  <c r="AT6" i="16"/>
  <c r="AT4" i="18"/>
  <c r="AT5" i="20"/>
  <c r="AT3" i="20"/>
  <c r="AT6" i="20"/>
  <c r="AT9" i="20"/>
  <c r="AT4" i="20"/>
  <c r="AT8" i="20"/>
  <c r="AT5" i="13"/>
  <c r="AT7" i="13"/>
  <c r="AT3" i="13"/>
  <c r="AT6" i="12"/>
  <c r="AT5" i="12"/>
  <c r="AT8" i="12"/>
  <c r="AT7" i="12"/>
  <c r="AT3" i="12"/>
  <c r="F17" i="11"/>
  <c r="G6" i="41" s="1"/>
  <c r="AQ7" i="11" s="1"/>
  <c r="G17" i="11"/>
  <c r="H6" i="41" s="1"/>
  <c r="AQ8" i="11" s="1"/>
  <c r="H17" i="11"/>
  <c r="I17" i="11"/>
  <c r="J17" i="11"/>
  <c r="I6" i="41" s="1"/>
  <c r="AQ9" i="11" s="1"/>
  <c r="K17" i="11"/>
  <c r="L17" i="11"/>
  <c r="M17" i="11"/>
  <c r="N17" i="11"/>
  <c r="O17" i="11"/>
  <c r="P17" i="11"/>
  <c r="Q17" i="11"/>
  <c r="R17" i="11"/>
  <c r="Y17" i="11"/>
  <c r="B6" i="41" s="1"/>
  <c r="AQ3" i="11" s="1"/>
  <c r="Z17" i="11"/>
  <c r="C6" i="41" s="1"/>
  <c r="AQ4" i="11" s="1"/>
  <c r="AA17" i="11"/>
  <c r="E6" i="41" s="1"/>
  <c r="AQ5" i="11" s="1"/>
  <c r="AB17" i="11"/>
  <c r="D6" i="41" s="1"/>
  <c r="AQ6" i="11" s="1"/>
  <c r="AC17" i="11"/>
  <c r="AD17" i="11"/>
  <c r="AE17" i="11"/>
  <c r="AF17" i="11"/>
  <c r="AG17" i="11"/>
  <c r="AH17" i="11"/>
  <c r="AI17" i="11"/>
  <c r="AJ17" i="11"/>
  <c r="AK17" i="11"/>
  <c r="AL17" i="11"/>
  <c r="AM17" i="11"/>
  <c r="AN17" i="11"/>
  <c r="AT9" i="14"/>
  <c r="AT7" i="10"/>
  <c r="AT6" i="14"/>
  <c r="AT5" i="14"/>
  <c r="AT4" i="14"/>
  <c r="AT6" i="9"/>
  <c r="AT6" i="10"/>
  <c r="AT4" i="10"/>
  <c r="AT8" i="14"/>
  <c r="AT3" i="14"/>
  <c r="AT4" i="9"/>
  <c r="E7" i="31"/>
  <c r="O3" i="31"/>
  <c r="O19" i="32"/>
  <c r="O6" i="32"/>
  <c r="O17" i="32"/>
  <c r="P10" i="32"/>
  <c r="O5" i="32"/>
  <c r="N10" i="32"/>
  <c r="M10" i="32"/>
  <c r="L10" i="32"/>
  <c r="K10" i="32"/>
  <c r="J10" i="32"/>
  <c r="I10" i="32"/>
  <c r="J22" i="32"/>
  <c r="O18" i="32"/>
  <c r="P18" i="32"/>
  <c r="I22" i="32"/>
  <c r="N22" i="32"/>
  <c r="M22" i="32"/>
  <c r="L22" i="32"/>
  <c r="K22" i="32"/>
  <c r="AT7" i="26"/>
  <c r="AT8" i="26"/>
  <c r="AT3" i="26"/>
  <c r="D17" i="41"/>
  <c r="AQ6" i="24" s="1"/>
  <c r="AT8" i="18"/>
  <c r="AT3" i="18"/>
  <c r="AT3" i="10"/>
  <c r="AT8" i="10"/>
  <c r="N6" i="31"/>
  <c r="I6" i="31"/>
  <c r="G6" i="31"/>
  <c r="F6" i="31"/>
  <c r="E2" i="31"/>
  <c r="E62" i="41"/>
  <c r="E5" i="31"/>
  <c r="G3" i="31"/>
  <c r="H3" i="31"/>
  <c r="C61" i="41"/>
  <c r="D7" i="31"/>
  <c r="F44" i="41"/>
  <c r="AT3" i="30"/>
  <c r="AT8" i="30"/>
  <c r="AT4" i="16"/>
  <c r="AT4" i="30"/>
  <c r="AT5" i="25"/>
  <c r="J53" i="41"/>
  <c r="AT6" i="13"/>
  <c r="AT8" i="11"/>
  <c r="AT3" i="16"/>
  <c r="AT8" i="16"/>
  <c r="F3" i="32"/>
  <c r="AT8" i="13"/>
  <c r="AT6" i="11"/>
  <c r="AT7" i="11"/>
  <c r="AT4" i="11"/>
  <c r="AT5" i="11"/>
  <c r="AT3" i="11"/>
  <c r="AT9" i="26"/>
  <c r="AT3" i="9"/>
  <c r="F28" i="41"/>
  <c r="AT5" i="9"/>
  <c r="AT8" i="9"/>
  <c r="AT4" i="17"/>
  <c r="F36" i="41"/>
  <c r="AT7" i="16"/>
  <c r="AT7" i="15"/>
  <c r="AT5" i="10"/>
  <c r="AT7" i="14"/>
  <c r="AT9" i="12"/>
  <c r="AT9" i="13"/>
  <c r="F30" i="41"/>
  <c r="F34" i="41"/>
  <c r="AT7" i="20"/>
  <c r="AT5" i="18"/>
  <c r="F38" i="41"/>
  <c r="AT5" i="36"/>
  <c r="F43" i="41"/>
  <c r="AT6" i="35"/>
  <c r="AT3" i="27"/>
  <c r="F48" i="41"/>
  <c r="AT3" i="28"/>
  <c r="AT6" i="28"/>
  <c r="AT8" i="25"/>
  <c r="AT9" i="30"/>
  <c r="F51" i="41"/>
  <c r="F45" i="41"/>
  <c r="F35" i="41"/>
  <c r="B53" i="41"/>
  <c r="H53" i="41"/>
  <c r="F31" i="41"/>
  <c r="AT9" i="11"/>
  <c r="AT5" i="29"/>
  <c r="F50" i="41"/>
  <c r="AT4" i="15"/>
  <c r="F40" i="41"/>
  <c r="AT5" i="26"/>
  <c r="F46" i="41"/>
  <c r="E53" i="41"/>
  <c r="F33" i="41"/>
  <c r="AT4" i="13"/>
  <c r="AT5" i="28"/>
  <c r="F49" i="41"/>
  <c r="F32" i="41"/>
  <c r="AT4" i="12"/>
  <c r="D53" i="41"/>
  <c r="AT5" i="35"/>
  <c r="F39" i="41"/>
  <c r="C53" i="41"/>
  <c r="AT7" i="9"/>
  <c r="G53" i="41"/>
  <c r="F29" i="41"/>
  <c r="AT9" i="9"/>
  <c r="I53" i="41"/>
  <c r="H4" i="31"/>
  <c r="G4" i="31"/>
  <c r="G5" i="31"/>
  <c r="E4" i="31"/>
  <c r="F2" i="31"/>
  <c r="D2" i="31"/>
  <c r="E63" i="41"/>
  <c r="D5" i="31"/>
  <c r="AQ4" i="24"/>
  <c r="AQ4" i="36"/>
  <c r="E59" i="41"/>
  <c r="F59" i="41" s="1"/>
  <c r="I4" i="31"/>
  <c r="J4" i="31"/>
  <c r="O22" i="32"/>
  <c r="Q22" i="32"/>
  <c r="Q18" i="32"/>
  <c r="O10" i="32"/>
  <c r="Q10" i="32"/>
  <c r="Q9" i="32"/>
  <c r="H59" i="41"/>
  <c r="C59" i="41"/>
  <c r="C69" i="41"/>
  <c r="B69" i="41"/>
  <c r="B61" i="41"/>
  <c r="B71" i="41"/>
  <c r="H71" i="41"/>
  <c r="H61" i="41"/>
  <c r="N4" i="31"/>
  <c r="E68" i="41"/>
  <c r="F68" i="41" s="1"/>
  <c r="F4" i="31"/>
  <c r="P4" i="31"/>
  <c r="F58" i="41"/>
  <c r="L5" i="31"/>
  <c r="P5" i="31"/>
  <c r="I5" i="31"/>
  <c r="J5" i="31"/>
  <c r="E60" i="41"/>
  <c r="E70" i="41"/>
  <c r="D3" i="31"/>
  <c r="I3" i="31"/>
  <c r="J3" i="31"/>
  <c r="P22" i="32"/>
  <c r="R8" i="32"/>
  <c r="R10" i="32"/>
  <c r="E6" i="31"/>
  <c r="F63" i="41"/>
  <c r="B9" i="32"/>
  <c r="F6" i="32"/>
  <c r="P6" i="31"/>
  <c r="J6" i="31"/>
  <c r="F69" i="41"/>
  <c r="H2" i="31"/>
  <c r="P2" i="31"/>
  <c r="D59" i="41"/>
  <c r="F16" i="41"/>
  <c r="J2" i="31"/>
  <c r="G69" i="41"/>
  <c r="N2" i="31"/>
  <c r="I69" i="41"/>
  <c r="G2" i="31"/>
  <c r="H69" i="41"/>
  <c r="I8" i="31"/>
  <c r="E3" i="31"/>
  <c r="P3" i="31"/>
  <c r="C70" i="41"/>
  <c r="F70" i="41" s="1"/>
  <c r="O8" i="31"/>
  <c r="N8" i="31"/>
  <c r="D6" i="42"/>
  <c r="E71" i="41"/>
  <c r="D9" i="32"/>
  <c r="F8" i="32"/>
  <c r="G61" i="41"/>
  <c r="G7" i="31"/>
  <c r="G71" i="41"/>
  <c r="I71" i="41"/>
  <c r="J7" i="31"/>
  <c r="H8" i="31"/>
  <c r="F7" i="31"/>
  <c r="P7" i="31"/>
  <c r="D71" i="41"/>
  <c r="Q14" i="42"/>
  <c r="Q6" i="42"/>
  <c r="P16" i="42"/>
  <c r="Q4" i="42"/>
  <c r="O17" i="42"/>
  <c r="Q17" i="42"/>
  <c r="P13" i="42"/>
  <c r="Q5" i="42"/>
  <c r="Q15" i="42"/>
  <c r="O7" i="42"/>
  <c r="R3" i="42"/>
  <c r="P17" i="42"/>
  <c r="Q7" i="42"/>
  <c r="R7" i="42"/>
  <c r="Q16" i="43" l="1"/>
  <c r="P34" i="43"/>
  <c r="R17" i="43"/>
  <c r="P37" i="43"/>
  <c r="F14" i="43"/>
  <c r="R4" i="43"/>
  <c r="F11" i="41"/>
  <c r="Q29" i="43"/>
  <c r="Q33" i="43"/>
  <c r="P28" i="43"/>
  <c r="Q8" i="43"/>
  <c r="R14" i="43"/>
  <c r="P26" i="43"/>
  <c r="O38" i="43"/>
  <c r="P32" i="43"/>
  <c r="Q6" i="43"/>
  <c r="F12" i="41"/>
  <c r="Q31" i="43"/>
  <c r="R5" i="43"/>
  <c r="Q7" i="43"/>
  <c r="F13" i="41"/>
  <c r="F5" i="41"/>
  <c r="AQ3" i="9"/>
  <c r="F3" i="41"/>
  <c r="F6" i="41"/>
  <c r="F4" i="41"/>
  <c r="AQ3" i="10"/>
  <c r="F8" i="41"/>
  <c r="P30" i="43"/>
  <c r="F19" i="41"/>
  <c r="AQ3" i="26"/>
  <c r="AQ4" i="16"/>
  <c r="F10" i="41"/>
  <c r="F14" i="41"/>
  <c r="AQ3" i="30"/>
  <c r="F23" i="41"/>
  <c r="F17" i="41"/>
  <c r="P27" i="43"/>
  <c r="P36" i="43"/>
  <c r="O18" i="43"/>
  <c r="F7" i="41"/>
  <c r="AQ3" i="12"/>
  <c r="AQ3" i="25"/>
  <c r="F18" i="41"/>
  <c r="AQ4" i="29"/>
  <c r="F22" i="41"/>
  <c r="F9" i="41"/>
  <c r="F15" i="41"/>
  <c r="AQ4" i="28"/>
  <c r="F21" i="41"/>
  <c r="P38" i="43" l="1"/>
  <c r="Q38" i="43"/>
  <c r="R18" i="43"/>
  <c r="Q18" i="43"/>
</calcChain>
</file>

<file path=xl/sharedStrings.xml><?xml version="1.0" encoding="utf-8"?>
<sst xmlns="http://schemas.openxmlformats.org/spreadsheetml/2006/main" count="5613" uniqueCount="889">
  <si>
    <t>PL</t>
  </si>
  <si>
    <t>W</t>
  </si>
  <si>
    <t>D</t>
  </si>
  <si>
    <t>L</t>
  </si>
  <si>
    <t>F</t>
  </si>
  <si>
    <t>A</t>
  </si>
  <si>
    <t>Scores</t>
  </si>
  <si>
    <t>Cards</t>
  </si>
  <si>
    <t>Att</t>
  </si>
  <si>
    <t>HT</t>
  </si>
  <si>
    <t>Referee</t>
  </si>
  <si>
    <t>TMO</t>
  </si>
  <si>
    <t>T</t>
  </si>
  <si>
    <t>C</t>
  </si>
  <si>
    <t>P</t>
  </si>
  <si>
    <t>Y</t>
  </si>
  <si>
    <t>R</t>
  </si>
  <si>
    <t>Opponents</t>
  </si>
  <si>
    <t>Cmp</t>
  </si>
  <si>
    <t>Date</t>
  </si>
  <si>
    <t>OVERALL</t>
  </si>
  <si>
    <t>TB</t>
  </si>
  <si>
    <t>LB</t>
  </si>
  <si>
    <t>Bonus</t>
  </si>
  <si>
    <t>Result</t>
  </si>
  <si>
    <t>Conceded</t>
  </si>
  <si>
    <t>AR1</t>
  </si>
  <si>
    <t>AR2</t>
  </si>
  <si>
    <t>© Hillsport Media Ltd</t>
  </si>
  <si>
    <t>Australia</t>
  </si>
  <si>
    <t>England</t>
  </si>
  <si>
    <t>Fiji</t>
  </si>
  <si>
    <t>Wales</t>
  </si>
  <si>
    <t>Italy</t>
  </si>
  <si>
    <t>France</t>
  </si>
  <si>
    <t>Scotland</t>
  </si>
  <si>
    <t>Japan</t>
  </si>
  <si>
    <t>Argentina</t>
  </si>
  <si>
    <t>Georgia</t>
  </si>
  <si>
    <t>Ireland</t>
  </si>
  <si>
    <t>Canada</t>
  </si>
  <si>
    <t>Gd</t>
  </si>
  <si>
    <t>Away</t>
  </si>
  <si>
    <t>Neutral Ground</t>
  </si>
  <si>
    <t>Home</t>
  </si>
  <si>
    <t>INT</t>
  </si>
  <si>
    <t>6N</t>
  </si>
  <si>
    <t>Pos</t>
  </si>
  <si>
    <t>Chg</t>
  </si>
  <si>
    <t>DIFF</t>
  </si>
  <si>
    <t>PTS</t>
  </si>
  <si>
    <t>→</t>
  </si>
  <si>
    <t>TF</t>
  </si>
  <si>
    <t>TA</t>
  </si>
  <si>
    <t>Yellows</t>
  </si>
  <si>
    <t>Reds</t>
  </si>
  <si>
    <t>Pts</t>
  </si>
  <si>
    <t>TOTALS</t>
  </si>
  <si>
    <t xml:space="preserve"> </t>
  </si>
  <si>
    <t>Teams ordered on unofficial “points” ratio of “2” for a Red, “1” for a Yellow</t>
  </si>
  <si>
    <t>USA</t>
  </si>
  <si>
    <t>HOME</t>
  </si>
  <si>
    <t>AWAY</t>
  </si>
  <si>
    <t>NEUTRAL</t>
  </si>
  <si>
    <t>GSB</t>
  </si>
  <si>
    <t>TB = Try Bonus Points; LB = Losing Bonus Points; GSB = Grand Slam Bonus Points</t>
  </si>
  <si>
    <t>BT Murrayfield</t>
  </si>
  <si>
    <t>Twickenham</t>
  </si>
  <si>
    <t>Stadio Olimpico</t>
  </si>
  <si>
    <t>Principality Stadium</t>
  </si>
  <si>
    <t>Stade de France</t>
  </si>
  <si>
    <t xml:space="preserve">BT Murrayfield </t>
  </si>
  <si>
    <t>Aviva Stadium</t>
  </si>
  <si>
    <t> 10</t>
  </si>
  <si>
    <t> 9</t>
  </si>
  <si>
    <t> 27</t>
  </si>
  <si>
    <t> 23</t>
  </si>
  <si>
    <t> 40</t>
  </si>
  <si>
    <t>19 </t>
  </si>
  <si>
    <t>10 </t>
  </si>
  <si>
    <t>20 </t>
  </si>
  <si>
    <t>36 </t>
  </si>
  <si>
    <t>21 </t>
  </si>
  <si>
    <t>58 </t>
  </si>
  <si>
    <t>15 </t>
  </si>
  <si>
    <t>25 </t>
  </si>
  <si>
    <t>29 </t>
  </si>
  <si>
    <t>18 </t>
  </si>
  <si>
    <t> 67</t>
  </si>
  <si>
    <t>14 </t>
  </si>
  <si>
    <t> 35</t>
  </si>
  <si>
    <t>Millennium Stadium</t>
  </si>
  <si>
    <t>Points Scored</t>
  </si>
  <si>
    <t>Minutes S/handed</t>
  </si>
  <si>
    <t>Opponent</t>
  </si>
  <si>
    <t>Ave per 10 mins</t>
  </si>
  <si>
    <t>14 men</t>
  </si>
  <si>
    <t>13 men</t>
  </si>
  <si>
    <t>12 men</t>
  </si>
  <si>
    <t>11 men</t>
  </si>
  <si>
    <t>Total</t>
  </si>
  <si>
    <t>Also S/H</t>
  </si>
  <si>
    <t>15 v 14</t>
  </si>
  <si>
    <t>15 v 13</t>
  </si>
  <si>
    <t>Russia</t>
  </si>
  <si>
    <t>Uruguay</t>
  </si>
  <si>
    <t>na</t>
  </si>
  <si>
    <t>ALL TESTS</t>
  </si>
  <si>
    <t>SIX NATIONS</t>
  </si>
  <si>
    <t>RUGBY EUROPE</t>
  </si>
  <si>
    <t>REC</t>
  </si>
  <si>
    <t>Orange Velodrome</t>
  </si>
  <si>
    <t>Car</t>
  </si>
  <si>
    <t>Prs</t>
  </si>
  <si>
    <t>Rm</t>
  </si>
  <si>
    <t>Dbl</t>
  </si>
  <si>
    <t>Tw</t>
  </si>
  <si>
    <t>Mfl</t>
  </si>
  <si>
    <t>N Zealand</t>
  </si>
  <si>
    <t>Tonga</t>
  </si>
  <si>
    <t>Samoa</t>
  </si>
  <si>
    <t>GMT</t>
  </si>
  <si>
    <t>Namibia</t>
  </si>
  <si>
    <t>Romania</t>
  </si>
  <si>
    <t>Spain</t>
  </si>
  <si>
    <t>Portugal</t>
  </si>
  <si>
    <t>South Africa</t>
  </si>
  <si>
    <t>New Zealand</t>
  </si>
  <si>
    <t>Bb</t>
  </si>
  <si>
    <t>Akl</t>
  </si>
  <si>
    <t>WORLD CUP</t>
  </si>
  <si>
    <t>Tries Scored</t>
  </si>
  <si>
    <t>Played</t>
  </si>
  <si>
    <t>Won</t>
  </si>
  <si>
    <t>Lost</t>
  </si>
  <si>
    <t>%</t>
  </si>
  <si>
    <t>Pts For</t>
  </si>
  <si>
    <t>Pts Aga</t>
  </si>
  <si>
    <t>Tries For</t>
  </si>
  <si>
    <t>Drawn</t>
  </si>
  <si>
    <t>Pts Scored</t>
  </si>
  <si>
    <t>Pts Conceded</t>
  </si>
  <si>
    <t>ARGENTINA</t>
  </si>
  <si>
    <t>AUSTRALIA</t>
  </si>
  <si>
    <t>CANADA</t>
  </si>
  <si>
    <t>ENGLAND</t>
  </si>
  <si>
    <t>FIJI</t>
  </si>
  <si>
    <t>FRANCE</t>
  </si>
  <si>
    <t>GEORGIA</t>
  </si>
  <si>
    <t>IRELAND</t>
  </si>
  <si>
    <t>ITALY</t>
  </si>
  <si>
    <t>JAPAN</t>
  </si>
  <si>
    <t>NAMIBIA</t>
  </si>
  <si>
    <t>N ZEALAND</t>
  </si>
  <si>
    <t>RUSSIA</t>
  </si>
  <si>
    <t>SAMOA</t>
  </si>
  <si>
    <t>Ivory Coast</t>
  </si>
  <si>
    <t>Zimbabwe</t>
  </si>
  <si>
    <t>Tournaments</t>
  </si>
  <si>
    <t>United States</t>
  </si>
  <si>
    <t>SCOTLAND</t>
  </si>
  <si>
    <t>S AFRICA</t>
  </si>
  <si>
    <t>TONGA</t>
  </si>
  <si>
    <t>URUGUAY</t>
  </si>
  <si>
    <t>WALES</t>
  </si>
  <si>
    <t>BPs</t>
  </si>
  <si>
    <t>(Includes Cancelled)</t>
  </si>
  <si>
    <t xml:space="preserve">Penalty Tries: </t>
  </si>
  <si>
    <t>Car = Principality Stadium, Cardiff; Dbl = Aviva Stadium, Dublin</t>
  </si>
  <si>
    <t>SIX NATIONS CHAMPIONSHIP (2000-)</t>
  </si>
  <si>
    <t>INTERNATIONAL CHAMPIONSHIP (1882-)</t>
  </si>
  <si>
    <t>Tbs</t>
  </si>
  <si>
    <t>as at 07/09/23</t>
  </si>
  <si>
    <t>INTERNATIONALS</t>
  </si>
  <si>
    <t>Parc y Scarlets</t>
  </si>
  <si>
    <t>:</t>
  </si>
  <si>
    <t xml:space="preserve">    HT</t>
  </si>
  <si>
    <t>S Africa</t>
  </si>
  <si>
    <t>ALL TESTS (Does not include results, points &amp; tries awarded for cancelled matches)</t>
  </si>
  <si>
    <t>WORLD CUP  (Does not include results, points &amp; tries awarded for cancelled matches)</t>
  </si>
  <si>
    <t>Tie-breakers:</t>
  </si>
  <si>
    <t>Points Difference</t>
  </si>
  <si>
    <t>If still cannot split, placed equally</t>
  </si>
  <si>
    <t>Ptr = Loftus Versfeld, Pretoria; Jbg = Emirates Airlines Ellis Park, Johannesburg</t>
  </si>
  <si>
    <t>Dn</t>
  </si>
  <si>
    <t>Does not include Cancelled Tests</t>
  </si>
  <si>
    <t>PW</t>
  </si>
  <si>
    <t>RUGBY CHAMPS</t>
  </si>
  <si>
    <t>REC = Rugby Europe Championship</t>
  </si>
  <si>
    <t>Lis</t>
  </si>
  <si>
    <t>Netherlands</t>
  </si>
  <si>
    <t>RUGBY EUROPE 2020</t>
  </si>
  <si>
    <t>RUGBY EUROPE 2021</t>
  </si>
  <si>
    <t>Bht</t>
  </si>
  <si>
    <t>WORLD CUP QUAL</t>
  </si>
  <si>
    <t>Shi</t>
  </si>
  <si>
    <t>Ams</t>
  </si>
  <si>
    <t>ARGENTINA IN 2022</t>
  </si>
  <si>
    <t>AUSTRALIA IN 2022</t>
  </si>
  <si>
    <t>CANADA IN 2022</t>
  </si>
  <si>
    <t>ENGLAND IN 2022</t>
  </si>
  <si>
    <t>FIJI IN 2022</t>
  </si>
  <si>
    <t>FRANCE IN 2022</t>
  </si>
  <si>
    <t>GEORGIA IN 2022</t>
  </si>
  <si>
    <t>IRELAND IN 2022</t>
  </si>
  <si>
    <t>ITALY IN 2022</t>
  </si>
  <si>
    <t>JAPAN IN 2022</t>
  </si>
  <si>
    <t>NAMIBIA IN 2022</t>
  </si>
  <si>
    <t>NEW ZEALAND IN 2022</t>
  </si>
  <si>
    <t>ROMANIA IN 2022</t>
  </si>
  <si>
    <t>RUSSIA IN 2022</t>
  </si>
  <si>
    <t>SAMOA IN 2022</t>
  </si>
  <si>
    <t>SCOTLAND IN 2022</t>
  </si>
  <si>
    <t>SOUTH AFRICA IN 2022</t>
  </si>
  <si>
    <t>TONGA IN 2022</t>
  </si>
  <si>
    <t>USA IN 2022</t>
  </si>
  <si>
    <t>URUGUAY IN 2022</t>
  </si>
  <si>
    <t>WALES IN 2022</t>
  </si>
  <si>
    <t>Bht = Stadionul National Arcul de Triumf, Bucharest</t>
  </si>
  <si>
    <t>Tbi</t>
  </si>
  <si>
    <t>Rm = Stadio Olimpico, Rome; Prs = Stade de France, Paris</t>
  </si>
  <si>
    <t>Ams = National Rugby Centre Stadium, Amsterdam</t>
  </si>
  <si>
    <t>Mfl = BT Murrayfield, Edinburgh; Car = Principality Stadium, Cardiff</t>
  </si>
  <si>
    <t>Mfl = BT Murrayfield, Edinburgh; Rm = Stadio Olimpico, Rome</t>
  </si>
  <si>
    <t>Prs = Stade de France, Paris; Mfl = BT Murrayfield, Edinburgh</t>
  </si>
  <si>
    <t>Penalty Tries:</t>
  </si>
  <si>
    <t xml:space="preserve">Penalty Tries:  </t>
  </si>
  <si>
    <t>Mrd</t>
  </si>
  <si>
    <t>Mrd = Estadio Nacional Complutense,Madrid</t>
  </si>
  <si>
    <t>Shi = Yug Sport Stadium, Sochi; Tbs = Boris Paichadze Dinamo Arena, Tbilisi</t>
  </si>
  <si>
    <t>Sar</t>
  </si>
  <si>
    <t>Dbl = Aviva Stadium, Dublin; Prs = Stade de France, Paris</t>
  </si>
  <si>
    <t>Sar = Mordovla Arena, Saransk; Lis = Estadio Jamor, Lisbon</t>
  </si>
  <si>
    <t>Rm = Stadio Olimpico, Rome; Dbl = Aviva Stadium, Dublin</t>
  </si>
  <si>
    <t>Tw = Twickenham Stadium, London; Prs = Stade de France, Paris</t>
  </si>
  <si>
    <t>Ssv</t>
  </si>
  <si>
    <t>Ssv = Estadio 23 de Agosto, San Salvador de Jujuy</t>
  </si>
  <si>
    <t>Akl = Eden Park, Auckland; Dn = Forsyth Barr Stadium, Dunedin</t>
  </si>
  <si>
    <t>Tw = Twickenham Stadium, London; Akl = Eden Park, Auckland</t>
  </si>
  <si>
    <t>Sal</t>
  </si>
  <si>
    <t>Sal = Estadio Padre Ernesto Martearena, Salta</t>
  </si>
  <si>
    <t>Sde</t>
  </si>
  <si>
    <t>Sde = Estadio Unico Madre de Ciudades, Santiago del Estero</t>
  </si>
  <si>
    <t>Wl</t>
  </si>
  <si>
    <t>HS</t>
  </si>
  <si>
    <t>24-7</t>
  </si>
  <si>
    <t>Adam Leal (Eng)</t>
  </si>
  <si>
    <t>Rowan Kitt (Eng)</t>
  </si>
  <si>
    <t>George Selwood (Eng)</t>
  </si>
  <si>
    <t>Mike Woods (Eng)</t>
  </si>
  <si>
    <t>7-24</t>
  </si>
  <si>
    <t>Penalty Tries: v Rom (5 Feb)</t>
  </si>
  <si>
    <t>Rugby Europe Championship</t>
  </si>
  <si>
    <t>Stadionul National Arc De Triumf, Bucharest</t>
  </si>
  <si>
    <t>Estadio Nacional Universidad Complutense, Madrid</t>
  </si>
  <si>
    <t>Six Nations</t>
  </si>
  <si>
    <t>Aviva Stadium, Dublin</t>
  </si>
  <si>
    <t>10-0</t>
  </si>
  <si>
    <t>Jaco Peyper (RSA)</t>
  </si>
  <si>
    <t>Stuart Terheege (Eng)</t>
  </si>
  <si>
    <t>Mathieu Raynal (Fra)</t>
  </si>
  <si>
    <t>Angus Gardner (Aus)</t>
  </si>
  <si>
    <t>0-10</t>
  </si>
  <si>
    <t>10+ Points scored with fewer than 15 men:</t>
  </si>
  <si>
    <t>BT Murrayfield, Edinburgh</t>
  </si>
  <si>
    <t>10-6</t>
  </si>
  <si>
    <t>Ben O'Keeffe (Nzl)</t>
  </si>
  <si>
    <t>Ben Whitehouse (Wal)</t>
  </si>
  <si>
    <t>Nic Berry (Aus)</t>
  </si>
  <si>
    <t>Craig Evans (Wal)</t>
  </si>
  <si>
    <t>6-10</t>
  </si>
  <si>
    <t>Cowan-Dickie</t>
  </si>
  <si>
    <r>
      <t xml:space="preserve">POWERPLAYS </t>
    </r>
    <r>
      <rPr>
        <b/>
        <sz val="11"/>
        <color rgb="FFFF0000"/>
        <rFont val="Calibri"/>
        <family val="2"/>
        <scheme val="minor"/>
      </rPr>
      <t xml:space="preserve">(periods when teams are playing </t>
    </r>
    <r>
      <rPr>
        <b/>
        <u/>
        <sz val="11"/>
        <color rgb="FFFF0000"/>
        <rFont val="Calibri"/>
        <family val="2"/>
        <scheme val="minor"/>
      </rPr>
      <t>against short-handed opposition only</t>
    </r>
    <r>
      <rPr>
        <b/>
        <sz val="11"/>
        <color rgb="FFFF0000"/>
        <rFont val="Calibri"/>
        <family val="2"/>
        <scheme val="minor"/>
      </rPr>
      <t>)</t>
    </r>
  </si>
  <si>
    <t xml:space="preserve">Georgia </t>
  </si>
  <si>
    <t>Avchala Stadiu, Tbilisi</t>
  </si>
  <si>
    <t>15-11</t>
  </si>
  <si>
    <t>Romain Poite (Fra)</t>
  </si>
  <si>
    <t>Denis Grenouillet (Fra)</t>
  </si>
  <si>
    <t>Ludovic Cayre (Fra)</t>
  </si>
  <si>
    <t>Stephane Boyer (Fra)</t>
  </si>
  <si>
    <t>Stade de France, Paris</t>
  </si>
  <si>
    <t>18-10</t>
  </si>
  <si>
    <t>Mike Adamson (Sco)</t>
  </si>
  <si>
    <t>Brett Cronan (Aus)</t>
  </si>
  <si>
    <t>Nika Amashukeli (Geo)</t>
  </si>
  <si>
    <t>Damon Murphy (Aus)</t>
  </si>
  <si>
    <t>10-18</t>
  </si>
  <si>
    <t>After Round 1 (Feb 6 evening - Feb 12 morning)</t>
  </si>
  <si>
    <t>17-25</t>
  </si>
  <si>
    <t>Andrea Piardi (Ita)</t>
  </si>
  <si>
    <t>Stefano Roscini (Ita)</t>
  </si>
  <si>
    <t>Federico Vedovelli (Ita)</t>
  </si>
  <si>
    <r>
      <t xml:space="preserve">Filippo </t>
    </r>
    <r>
      <rPr>
        <b/>
        <sz val="11"/>
        <color theme="0"/>
        <rFont val="Calibri"/>
        <family val="2"/>
        <scheme val="minor"/>
      </rPr>
      <t>B</t>
    </r>
    <r>
      <rPr>
        <sz val="11"/>
        <color theme="0"/>
        <rFont val="Calibri"/>
        <family val="2"/>
        <scheme val="minor"/>
      </rPr>
      <t>ertelli (Ita)</t>
    </r>
  </si>
  <si>
    <t>29-3</t>
  </si>
  <si>
    <t>Patrick Pechambert (Fra)</t>
  </si>
  <si>
    <t>Cedric Marchat (Fra)</t>
  </si>
  <si>
    <t>Stephane Crapoix (Fra)</t>
  </si>
  <si>
    <t xml:space="preserve">RUGBY EUROPE </t>
  </si>
  <si>
    <t>13-22</t>
  </si>
  <si>
    <t>Frank Murphy (Ire)</t>
  </si>
  <si>
    <t>Leo Colgan (Ire)</t>
  </si>
  <si>
    <t>Oisin Quinn (Ire)</t>
  </si>
  <si>
    <t>Nigel Correll (Ire)</t>
  </si>
  <si>
    <t>14-14</t>
  </si>
  <si>
    <t>Wayne Barnes (Eng)</t>
  </si>
  <si>
    <t>Chris Busby (Ire)</t>
  </si>
  <si>
    <t>Yug Sport Stadium, Sochi</t>
  </si>
  <si>
    <t>National Rugby Centre Stadium, Amsterdam</t>
  </si>
  <si>
    <t>Principality Stadium, Cardiff</t>
  </si>
  <si>
    <t>19-7</t>
  </si>
  <si>
    <t>7-19</t>
  </si>
  <si>
    <t>0-21</t>
  </si>
  <si>
    <t>Brian MacNeice (Ire)</t>
  </si>
  <si>
    <t>Andrew Brace (Ire)</t>
  </si>
  <si>
    <t>Pierre Brousset (Fra)</t>
  </si>
  <si>
    <t>21-0</t>
  </si>
  <si>
    <t>After Round 2 (Feb 13 evening - Feb 26 morning)</t>
  </si>
  <si>
    <t xml:space="preserve"> ↑1</t>
  </si>
  <si>
    <t xml:space="preserve"> ↓1</t>
  </si>
  <si>
    <t>Stadio Olimpico, Rome</t>
  </si>
  <si>
    <t>Compexo Desportivo, Caldas Da Rainha</t>
  </si>
  <si>
    <t>10-19</t>
  </si>
  <si>
    <t>Karl Dickson (Eng)</t>
  </si>
  <si>
    <t>Tom Foley (Eng)</t>
  </si>
  <si>
    <t>Luke Pearce (Eng)</t>
  </si>
  <si>
    <t>19-10</t>
  </si>
  <si>
    <t>Twickenham Stadium, London</t>
  </si>
  <si>
    <t>12-0</t>
  </si>
  <si>
    <t>0-12</t>
  </si>
  <si>
    <t>Adams, Williams L</t>
  </si>
  <si>
    <t>Cancelled due to Russia invasion of Ukraine</t>
  </si>
  <si>
    <t>7-28</t>
  </si>
  <si>
    <t>Sam Grove-White (Sco)</t>
  </si>
  <si>
    <t>Neil Paterson (Sco)</t>
  </si>
  <si>
    <t>Graeme Ormiston (Sco)</t>
  </si>
  <si>
    <t>Jonny Perriam (Sco)</t>
  </si>
  <si>
    <t>Cancelled due to suspension of Russia's membership of World Rugby after invasion of Ukraine</t>
  </si>
  <si>
    <t>24-6</t>
  </si>
  <si>
    <t>Eric Gauzins (Fra)</t>
  </si>
  <si>
    <t>Matthew Carley (Eng)</t>
  </si>
  <si>
    <t>Christophe Ridley (Eng)</t>
  </si>
  <si>
    <t>6-24</t>
  </si>
  <si>
    <t>Faiva</t>
  </si>
  <si>
    <t>Steyn</t>
  </si>
  <si>
    <t>15 v 12</t>
  </si>
  <si>
    <r>
      <rPr>
        <sz val="11"/>
        <color rgb="FFFF0000"/>
        <rFont val="Calibri"/>
        <family val="2"/>
        <scheme val="minor"/>
      </rPr>
      <t xml:space="preserve">10 </t>
    </r>
    <r>
      <rPr>
        <sz val="11"/>
        <color theme="1"/>
        <rFont val="Calibri"/>
        <family val="2"/>
        <scheme val="minor"/>
      </rPr>
      <t>(Ire v Ita, Fb 27)</t>
    </r>
  </si>
  <si>
    <r>
      <rPr>
        <sz val="11"/>
        <color rgb="FFFF0000"/>
        <rFont val="Calibri"/>
        <family val="2"/>
        <scheme val="minor"/>
      </rPr>
      <t xml:space="preserve">12 </t>
    </r>
    <r>
      <rPr>
        <sz val="11"/>
        <color theme="1"/>
        <rFont val="Calibri"/>
        <family val="2"/>
        <scheme val="minor"/>
      </rPr>
      <t>(Ire v Ita x 2, Fb 27)</t>
    </r>
  </si>
  <si>
    <r>
      <rPr>
        <sz val="11"/>
        <color rgb="FFFF0000"/>
        <rFont val="Calibri"/>
        <family val="2"/>
        <scheme val="minor"/>
      </rPr>
      <t xml:space="preserve">21 </t>
    </r>
    <r>
      <rPr>
        <sz val="11"/>
        <color theme="1"/>
        <rFont val="Calibri"/>
        <family val="2"/>
        <scheme val="minor"/>
      </rPr>
      <t>(Ire v Ita, 15 v 12 for 7 mins, Fb 27)</t>
    </r>
  </si>
  <si>
    <t>10+ Points scored in any 10-minute Powerplay period:</t>
  </si>
  <si>
    <t>After Round 3 (Feb 27 evening - Mar 11 afternoon)</t>
  </si>
  <si>
    <t>9-10</t>
  </si>
  <si>
    <t>10-9</t>
  </si>
  <si>
    <t>13-21</t>
  </si>
  <si>
    <t>Ben Breakspear (Wal)</t>
  </si>
  <si>
    <t>Elgan Williams (Wal)</t>
  </si>
  <si>
    <t>Gareth Newman (Wal)</t>
  </si>
  <si>
    <t>Mark Butcher (Wal)</t>
  </si>
  <si>
    <t>21-13</t>
  </si>
  <si>
    <t>n/a</t>
  </si>
  <si>
    <t>Switzerland</t>
  </si>
  <si>
    <t>Centre Sportif Des Cherpines, Plan-Les-Ouates</t>
  </si>
  <si>
    <t>Belgium</t>
  </si>
  <si>
    <t>Rugby Europe Trophy</t>
  </si>
  <si>
    <t>Luxembourg</t>
  </si>
  <si>
    <t>Hungary</t>
  </si>
  <si>
    <t>Rugby Europe Conference 1 North</t>
  </si>
  <si>
    <t>Stade de Luxembourg, Luxembourg</t>
  </si>
  <si>
    <t>9-15</t>
  </si>
  <si>
    <t>Marius Jonker (RSA)</t>
  </si>
  <si>
    <t>15-9</t>
  </si>
  <si>
    <t>Ewels</t>
  </si>
  <si>
    <r>
      <rPr>
        <sz val="11"/>
        <color rgb="FFFF0000"/>
        <rFont val="Calibri"/>
        <family val="2"/>
        <scheme val="minor"/>
      </rPr>
      <t>17</t>
    </r>
    <r>
      <rPr>
        <sz val="11"/>
        <color theme="1"/>
        <rFont val="Calibri"/>
        <family val="2"/>
        <scheme val="minor"/>
      </rPr>
      <t xml:space="preserve"> (Ire v Eng, Mr 12, 66-76 mins)</t>
    </r>
  </si>
  <si>
    <t>After Round 4 (Mar 12 evening - Mar 19 morning)</t>
  </si>
  <si>
    <t>26-12</t>
  </si>
  <si>
    <t>Ben Blain (Sco)</t>
  </si>
  <si>
    <t>Andy McMenemy (Sco)</t>
  </si>
  <si>
    <t>Ruaridh Campbell (Sco)</t>
  </si>
  <si>
    <t>Bob Nevins (Sco)</t>
  </si>
  <si>
    <t>Dinamo Arena, Tbilisi</t>
  </si>
  <si>
    <t>Tbl = Mikheil Meskhi Stadium, Tbilisi; Tbi = Dinamo Arena, Tbilisi</t>
  </si>
  <si>
    <t>18-8</t>
  </si>
  <si>
    <t>Jon Mason (Wal)</t>
  </si>
  <si>
    <t>Ian Davies (Wal)</t>
  </si>
  <si>
    <t>7-12</t>
  </si>
  <si>
    <t>Joy Neville ((Ire)</t>
  </si>
  <si>
    <t>Tual Trainini (Fra)</t>
  </si>
  <si>
    <t>12-7</t>
  </si>
  <si>
    <t>Russell, White</t>
  </si>
  <si>
    <t>14-5</t>
  </si>
  <si>
    <t>5-14</t>
  </si>
  <si>
    <t>At end of tournament</t>
  </si>
  <si>
    <t>18-6</t>
  </si>
  <si>
    <t>6-18</t>
  </si>
  <si>
    <t>as at 01/02/23</t>
  </si>
  <si>
    <t>Germany</t>
  </si>
  <si>
    <t>Sportzentrum Martinsee, Heusenstamm</t>
  </si>
  <si>
    <t>Poland</t>
  </si>
  <si>
    <t>Stade Nelson Mandela, Brussels</t>
  </si>
  <si>
    <t>Lithuania</t>
  </si>
  <si>
    <t>Rugby Academy, Siauliai</t>
  </si>
  <si>
    <t>Slovenia</t>
  </si>
  <si>
    <t>Israel</t>
  </si>
  <si>
    <t>Rugby Europe Conference 1 South</t>
  </si>
  <si>
    <t>Oval Stanezici, Ljubljiana</t>
  </si>
  <si>
    <t>Croatia</t>
  </si>
  <si>
    <t>Malta</t>
  </si>
  <si>
    <t>Stadion NSC Stjepan Spajic, Zagreb</t>
  </si>
  <si>
    <t>Andorra</t>
  </si>
  <si>
    <t>Bulgaria</t>
  </si>
  <si>
    <t>Rugby Europe Conference 2 South</t>
  </si>
  <si>
    <t>National Stadium, Andorra La Vella</t>
  </si>
  <si>
    <t>Latvia</t>
  </si>
  <si>
    <t>Baldone Stadion, Baldone</t>
  </si>
  <si>
    <t>Narodwy Stadion, Gdynia</t>
  </si>
  <si>
    <t>Yizre'el Stadium, Yizre'el</t>
  </si>
  <si>
    <t>Cyprus</t>
  </si>
  <si>
    <t>Tony Bezzina Stadium, Paola</t>
  </si>
  <si>
    <t>Serbia</t>
  </si>
  <si>
    <t>FK Borac, Starcevo</t>
  </si>
  <si>
    <t>Sweden</t>
  </si>
  <si>
    <t>Bosnia &amp; Herzegovina</t>
  </si>
  <si>
    <t>Kamberovica Polje, Zenica</t>
  </si>
  <si>
    <t>Turkey</t>
  </si>
  <si>
    <t>National Sports Academy, Sofia</t>
  </si>
  <si>
    <t>Budapest Rugby Centre, Budapest</t>
  </si>
  <si>
    <t>Czech Republic</t>
  </si>
  <si>
    <t>Sparta Praha Rugby Club, Prague</t>
  </si>
  <si>
    <t>Norway</t>
  </si>
  <si>
    <t>Finland</t>
  </si>
  <si>
    <t>Rugby Europe Conference 2 North</t>
  </si>
  <si>
    <t>Kanel Banen, Horten</t>
  </si>
  <si>
    <t>Denmark</t>
  </si>
  <si>
    <t>Moldova</t>
  </si>
  <si>
    <t>Odense Atletikstadion, Odense</t>
  </si>
  <si>
    <t>Stockholms Stadion, Stockholm</t>
  </si>
  <si>
    <t>25 Kasim Stadium, Edirne</t>
  </si>
  <si>
    <t>Pakistan</t>
  </si>
  <si>
    <t>Thailand</t>
  </si>
  <si>
    <t>Asia Division 2</t>
  </si>
  <si>
    <t>Punjab Stadium, Lahore</t>
  </si>
  <si>
    <t>South Korea</t>
  </si>
  <si>
    <t>Malaysia</t>
  </si>
  <si>
    <t>Asia Championship, TOP 3</t>
  </si>
  <si>
    <t>Namdong Asiad Stadium, Incheon</t>
  </si>
  <si>
    <t>Test</t>
  </si>
  <si>
    <t>Prince Chichibu Memorial Stadium, Tokyo</t>
  </si>
  <si>
    <t>Tok</t>
  </si>
  <si>
    <t>15-3</t>
  </si>
  <si>
    <t>Jordan Way (Aus)</t>
  </si>
  <si>
    <t>Chris Hart (Nzl)</t>
  </si>
  <si>
    <t>Mike Fraser (Nzl)</t>
  </si>
  <si>
    <t>Graham Cooper (Aus)</t>
  </si>
  <si>
    <t>3-15</t>
  </si>
  <si>
    <t>Estadio Restrelo, Lisbon</t>
  </si>
  <si>
    <t>Dbl = Aviva Stadium, Dublin; Car = Principality Stadium, Cardiff; Lis = Estadio Restrelo, Lisbon</t>
  </si>
  <si>
    <t>Penalty Tries: v Por (25 Jun)</t>
  </si>
  <si>
    <t>10-17</t>
  </si>
  <si>
    <t>Hollie Davidson (Sco)</t>
  </si>
  <si>
    <t>Claire Hodnett (Eng)</t>
  </si>
  <si>
    <t>Sara Cox (Eng)</t>
  </si>
  <si>
    <t>Aurelie Groizeleau (Fra)</t>
  </si>
  <si>
    <t>1st Test</t>
  </si>
  <si>
    <t>2nd Test</t>
  </si>
  <si>
    <t>Mikuni World Stadium, Kitakyushu</t>
  </si>
  <si>
    <t>Tok = Prince Chichibu Memorial Stadium, Tokyo; Kit = Mikuni World Stadium, Kitakyushu</t>
  </si>
  <si>
    <t>Kit</t>
  </si>
  <si>
    <t>Penalty Tries: v Uru (25 Jun)</t>
  </si>
  <si>
    <t>19-0</t>
  </si>
  <si>
    <t>Oli Kellett (Aus)</t>
  </si>
  <si>
    <t>Reuben Keane (Aus)</t>
  </si>
  <si>
    <t>Toy</t>
  </si>
  <si>
    <t>Tky</t>
  </si>
  <si>
    <t>0-19</t>
  </si>
  <si>
    <t>Burkina Faso</t>
  </si>
  <si>
    <t>Stade Delort, Marseille</t>
  </si>
  <si>
    <t>Burkina F</t>
  </si>
  <si>
    <t>Mar</t>
  </si>
  <si>
    <t>RA = Rugby Africa Cup</t>
  </si>
  <si>
    <t>24-0</t>
  </si>
  <si>
    <t>Sylvain Mane (Sen)</t>
  </si>
  <si>
    <t>Precious Pazani (Zim)</t>
  </si>
  <si>
    <t>Talent Gandiwa (Zim)</t>
  </si>
  <si>
    <t>Cote D'Ivoire</t>
  </si>
  <si>
    <t>Rugby Africa Cup Quarter-Final</t>
  </si>
  <si>
    <t>Uganda</t>
  </si>
  <si>
    <t>Kenya</t>
  </si>
  <si>
    <t>Stade Maurice David, Aix en Provence</t>
  </si>
  <si>
    <t>Senegal</t>
  </si>
  <si>
    <t>Algeria</t>
  </si>
  <si>
    <t>ANZ Stadum, Suva</t>
  </si>
  <si>
    <t>PNC</t>
  </si>
  <si>
    <t>PNC = Pacific Nations Cup</t>
  </si>
  <si>
    <t>Suv</t>
  </si>
  <si>
    <t>22-0</t>
  </si>
  <si>
    <t>Jono Bredin (Nzl)</t>
  </si>
  <si>
    <t>0-22</t>
  </si>
  <si>
    <t>19-6</t>
  </si>
  <si>
    <t>Ian Tempest (Eng)</t>
  </si>
  <si>
    <t>6-19</t>
  </si>
  <si>
    <t>13-13</t>
  </si>
  <si>
    <t>Shuhei Kubo (Jpn)</t>
  </si>
  <si>
    <t>Car = Principality Stadium, Cardiff; Toy = Toyota Stadium, Toyota</t>
  </si>
  <si>
    <t>Toyota Stadium, Toyota</t>
  </si>
  <si>
    <t>Eden Park, Auckland</t>
  </si>
  <si>
    <t>28-5</t>
  </si>
  <si>
    <t>Marius van der Westhuizen (RSA)</t>
  </si>
  <si>
    <t>5-28</t>
  </si>
  <si>
    <t>Ella-Mobbs Trophy 1st Test</t>
  </si>
  <si>
    <t>Optus Stadium, Perth</t>
  </si>
  <si>
    <t>6-6</t>
  </si>
  <si>
    <t>James Doleman (Nzl)</t>
  </si>
  <si>
    <t>Brendon Pickerill (Nzl)</t>
  </si>
  <si>
    <t>Pth</t>
  </si>
  <si>
    <t>Pth = Optus Stadium, Perth; Bb = Suncorp Stadium, Brisbane</t>
  </si>
  <si>
    <t>EM</t>
  </si>
  <si>
    <t>Ptr</t>
  </si>
  <si>
    <t>3-18</t>
  </si>
  <si>
    <t>Nika Amshukeli (Geo)</t>
  </si>
  <si>
    <t>Joy Neville (Ire)</t>
  </si>
  <si>
    <t>18-3</t>
  </si>
  <si>
    <t>Tw = Twickenham Stadium, London; Ptr = Loftus Versfeld, Pretoria</t>
  </si>
  <si>
    <t>Prince William Cup 1st Test</t>
  </si>
  <si>
    <t>Loftus Versfeld, Pretoria</t>
  </si>
  <si>
    <t>Wanderers Ground, Halifax, Nova Scotia</t>
  </si>
  <si>
    <t>Hal</t>
  </si>
  <si>
    <t>Austin Reed (USA)</t>
  </si>
  <si>
    <t>Kat Roche (USA)</t>
  </si>
  <si>
    <t>Kahili Harrison (USA)</t>
  </si>
  <si>
    <t>Estadio 23 de Agosto, San Salvador de Jujuy</t>
  </si>
  <si>
    <t>Rugby Africa Cup 5th Place Semi-Final</t>
  </si>
  <si>
    <t>Rugby Africa Cup Semi-Final</t>
  </si>
  <si>
    <t>Aix</t>
  </si>
  <si>
    <t>Mar - Stade Delort, Marseille; Aix = Stade Maurice David, Aix-en-Provence</t>
  </si>
  <si>
    <t xml:space="preserve">Penalty Tries: v Zim (6 Jul) </t>
  </si>
  <si>
    <t>Philippe Bonhoure (Fra)</t>
  </si>
  <si>
    <t>Aymen Jriji (Tun)</t>
  </si>
  <si>
    <t>Victor Ojuku (Ken)</t>
  </si>
  <si>
    <t>Churchill Park, Lautoka</t>
  </si>
  <si>
    <t>Lau</t>
  </si>
  <si>
    <t>Suv = ANZ Stadium, Suva; Lau = Churchill Park, Lautoka</t>
  </si>
  <si>
    <t>Angus Mabey (Nzl)</t>
  </si>
  <si>
    <t>Tevita Rokovereni (Fij)</t>
  </si>
  <si>
    <t xml:space="preserve">Korea </t>
  </si>
  <si>
    <t>Hong Kong</t>
  </si>
  <si>
    <t>Chile</t>
  </si>
  <si>
    <t>2023 World Cup Qualifying Americas Play-off, 1st leg</t>
  </si>
  <si>
    <t>Estadio Santa Laura Universidad SEK, Santiago</t>
  </si>
  <si>
    <t>San</t>
  </si>
  <si>
    <t>nn</t>
  </si>
  <si>
    <t>7-6</t>
  </si>
  <si>
    <t>Talai Chaudhry (Can)</t>
  </si>
  <si>
    <t>Rugby Africa Cup 7th Place Play-off</t>
  </si>
  <si>
    <t>Rugby Africa Cup 5th Place Play-off</t>
  </si>
  <si>
    <t>Rugby Africa Cup 3rd Place Play-off</t>
  </si>
  <si>
    <t>Rugby Africa Cup Final</t>
  </si>
  <si>
    <t>RAF</t>
  </si>
  <si>
    <t>15-0</t>
  </si>
  <si>
    <t>Anthony Woodthorpe (Eng)</t>
  </si>
  <si>
    <t>15-7</t>
  </si>
  <si>
    <t>7-15</t>
  </si>
  <si>
    <t>National Stadium, Tokyo</t>
  </si>
  <si>
    <t>Forsyth Barr Stadium, Dunedin</t>
  </si>
  <si>
    <t>7-10</t>
  </si>
  <si>
    <t>10-7</t>
  </si>
  <si>
    <t>Suncorp Stadium, Brisbane</t>
  </si>
  <si>
    <t>Paul Williams (Nzl)</t>
  </si>
  <si>
    <t>Prince William Cup 2nd Test</t>
  </si>
  <si>
    <t>Ella-Mobbs Trophy 2nd Test</t>
  </si>
  <si>
    <t>Toyota Stadium, Bloemfontein</t>
  </si>
  <si>
    <t>Blo</t>
  </si>
  <si>
    <t>3-3</t>
  </si>
  <si>
    <t>Estadio Padre Ernesto Martearena, Salta</t>
  </si>
  <si>
    <t>6-8</t>
  </si>
  <si>
    <t>8-6</t>
  </si>
  <si>
    <t>Adjarabet Arena, Batumi</t>
  </si>
  <si>
    <t>Bat</t>
  </si>
  <si>
    <t>Bht = Stadionul National Arcul de Triumf, Bucharest; Bat = Adjarabet Arena, Batumi</t>
  </si>
  <si>
    <t>19-13</t>
  </si>
  <si>
    <t>Adam Jones (Wal)</t>
  </si>
  <si>
    <t>13-19</t>
  </si>
  <si>
    <t>Estadio Charrua, Montevideo</t>
  </si>
  <si>
    <t>Mv</t>
  </si>
  <si>
    <t>Tok = Prince Chichibu Memorial Stadium, Tokyo; Mv = Estadio Churrua, Montevideo</t>
  </si>
  <si>
    <t>3-17</t>
  </si>
  <si>
    <t>Neheun Jauri Rivero (Arg)</t>
  </si>
  <si>
    <t>Tomas Bertazza (Arg)</t>
  </si>
  <si>
    <t>17-3</t>
  </si>
  <si>
    <t>TD Place Stadium, Ottawa</t>
  </si>
  <si>
    <t>Ott</t>
  </si>
  <si>
    <t>Hal = Wanderers Ground, Halifax; Ott = TD Place Stadium, Ottawa</t>
  </si>
  <si>
    <t>13-40</t>
  </si>
  <si>
    <t>2023 World Cup Qualifying Americas Play-off, 2nd leg</t>
  </si>
  <si>
    <t>Infinity Park, Glendale</t>
  </si>
  <si>
    <t>Gle</t>
  </si>
  <si>
    <t>San = Estadio Santa Laura Universidad SEK, Santiago; Gle = Infinity Park, Glendale</t>
  </si>
  <si>
    <t>19-14</t>
  </si>
  <si>
    <t>Chris Micheletti (Can)</t>
  </si>
  <si>
    <t>Dbi</t>
  </si>
  <si>
    <t>Dbi = The Sevens Stadium, Dubai</t>
  </si>
  <si>
    <t>Dan Waenga (Nzl)</t>
  </si>
  <si>
    <t>PACIFIC NATS CUP</t>
  </si>
  <si>
    <t>Pacific Nations Cup Round 1</t>
  </si>
  <si>
    <t>Pacific Nations Cup Round 2</t>
  </si>
  <si>
    <t>Pacific Nations Cup Round 3</t>
  </si>
  <si>
    <t>3-22</t>
  </si>
  <si>
    <t>3rd Test</t>
  </si>
  <si>
    <t>Sky Stadium, Wellington</t>
  </si>
  <si>
    <t>22-3</t>
  </si>
  <si>
    <t>Dn = Forsyth Barr Stadium, Dunedin; Wl = Sky Stadium, Wellington</t>
  </si>
  <si>
    <t>Ella-Mobbs Trophy 3rd Test</t>
  </si>
  <si>
    <t>Sydney Cricket Ground, Sydney</t>
  </si>
  <si>
    <t>10-11</t>
  </si>
  <si>
    <t>11-10</t>
  </si>
  <si>
    <t>Scg = Sydney Cricket Ground, Sydney</t>
  </si>
  <si>
    <t>Scg</t>
  </si>
  <si>
    <t>Ctn</t>
  </si>
  <si>
    <t>Ctn = DHL Stadium, Cape Town; Pe = Nelson Mandela Bay Stadium, Port Elizabeth</t>
  </si>
  <si>
    <t>AIA Arena, Kutaisi</t>
  </si>
  <si>
    <t>Kut</t>
  </si>
  <si>
    <t>Tbs = Boris Paichadze Dinamo Arena, Tbilisi; Kut = AIA Arena, Kutaisi</t>
  </si>
  <si>
    <t>9-6</t>
  </si>
  <si>
    <t>Shota Tevzadze (Geo)</t>
  </si>
  <si>
    <t>Prince William Cup 3rd Test</t>
  </si>
  <si>
    <t>DHL Stadium, Cape Town</t>
  </si>
  <si>
    <t>17-8</t>
  </si>
  <si>
    <t>8-17</t>
  </si>
  <si>
    <t>Blo = Toyota Stadium, Bloemfontein; Ctn = DHL Stadium, Cape Town</t>
  </si>
  <si>
    <t>Estadio Unico Madre de Ciudades, Santiago del Estero</t>
  </si>
  <si>
    <t>13-14</t>
  </si>
  <si>
    <t>14-13</t>
  </si>
  <si>
    <t>19-17</t>
  </si>
  <si>
    <t>Lucas Galan (Arg)</t>
  </si>
  <si>
    <t>Gonzalo de Achaval (Arg)</t>
  </si>
  <si>
    <t>17-19</t>
  </si>
  <si>
    <t>Penalty Tries: v Uru (17 Jul)</t>
  </si>
  <si>
    <t>Ams = National Rugby Centre Stadium, Amsterdam; Mv = Estadio Churrua, Montevideo</t>
  </si>
  <si>
    <t>Sunshine Coast Stadium, Kawana Waters</t>
  </si>
  <si>
    <t>Kw</t>
  </si>
  <si>
    <t>2023 World Cup Qualifying Asia/Pacific Play-off</t>
  </si>
  <si>
    <t>WORLD CUP QUALS</t>
  </si>
  <si>
    <t>WORLD CUP QUALD</t>
  </si>
  <si>
    <t>20-8</t>
  </si>
  <si>
    <t>James Leckie (Aus)</t>
  </si>
  <si>
    <t>Does not include 22-39 PNC defeat v Australia A on 16 Jul (not an official Test match)</t>
  </si>
  <si>
    <t>Does not include 31-26 PNC win v Australia A on 2 Jul (not an official Test match)</t>
  </si>
  <si>
    <t>Does not include 18-32 PNC defeat v Australia A on 9 Jul (not an official Test match)</t>
  </si>
  <si>
    <t>Rugby Championship Round 1</t>
  </si>
  <si>
    <t>Mbombela Stadium, Mbombela</t>
  </si>
  <si>
    <t>RC</t>
  </si>
  <si>
    <t>Mb</t>
  </si>
  <si>
    <t>Blo = Toyota Stadium, Bloemfontein; Mb = Mbombela Stadium, Mbombela</t>
  </si>
  <si>
    <t>10-3</t>
  </si>
  <si>
    <t>3-10</t>
  </si>
  <si>
    <t>Wl = Sky Stadium, Wellington; Mb = Mbombela Stadium, Mbombela</t>
  </si>
  <si>
    <t>Estadio Malvinas Argentinas, Mendoza</t>
  </si>
  <si>
    <t>Arendse</t>
  </si>
  <si>
    <t>Mdz</t>
  </si>
  <si>
    <t>Scg = Sydney Cricket Ground, Sydney; Mdz = Estadio Malvinas Argentinas, Mendoza</t>
  </si>
  <si>
    <t>Rugby Championship Round 2</t>
  </si>
  <si>
    <t>Emirates Airline Park, Johannesburg</t>
  </si>
  <si>
    <t>Jbg</t>
  </si>
  <si>
    <t>10-15</t>
  </si>
  <si>
    <t>15-10</t>
  </si>
  <si>
    <t>Estadio del Bicentenario, San Juan</t>
  </si>
  <si>
    <t>Sjn</t>
  </si>
  <si>
    <t>Mdz = Estadio Malvinas Argentinas, Mendoza; Sjn = Estadio del Bicentenario, San Juan</t>
  </si>
  <si>
    <t>26-10</t>
  </si>
  <si>
    <t>10-26</t>
  </si>
  <si>
    <t>Rugby Championship Round 3</t>
  </si>
  <si>
    <t>Adelaide Oval, Adelaide</t>
  </si>
  <si>
    <t>Adl</t>
  </si>
  <si>
    <t>Sjn = Estadio del Bicentenario, San Juan; Adl = Adelaide Oval, Adelaide</t>
  </si>
  <si>
    <t>Orangetheory Stadium, Christchurch</t>
  </si>
  <si>
    <t>Cch</t>
  </si>
  <si>
    <t xml:space="preserve"> Bb = Suncorp Stadium, Brisbane; Cch = Orangetheory Stadium, Christchurch</t>
  </si>
  <si>
    <t>15-12</t>
  </si>
  <si>
    <t>12-15</t>
  </si>
  <si>
    <t>CCh</t>
  </si>
  <si>
    <t>Cch = Orangetheory Stadium, Christchurch; Tw = Twickenham Stadium, London</t>
  </si>
  <si>
    <t>Hm</t>
  </si>
  <si>
    <t>24-3</t>
  </si>
  <si>
    <t>3-24</t>
  </si>
  <si>
    <t>Jbg = Emirates Airlines Ellis Park, Johannesburg; Hm = FMG Stadium, Hamilton</t>
  </si>
  <si>
    <r>
      <rPr>
        <sz val="11"/>
        <color rgb="FFFF0000"/>
        <rFont val="Calibri"/>
        <family val="2"/>
        <scheme val="minor"/>
      </rPr>
      <t>12</t>
    </r>
    <r>
      <rPr>
        <sz val="11"/>
        <color theme="1"/>
        <rFont val="Calibri"/>
        <family val="2"/>
        <scheme val="minor"/>
      </rPr>
      <t xml:space="preserve"> Nzl v Arg (Sp 3)</t>
    </r>
  </si>
  <si>
    <t>Rugby Championship Round 4</t>
  </si>
  <si>
    <t>FMG Stadium, Hamilton</t>
  </si>
  <si>
    <t>Syd</t>
  </si>
  <si>
    <t>Mfl = BT Murrayfield, Edinburgh; Syd = Sydney Football Stadium, Sydney</t>
  </si>
  <si>
    <t>Adl = Adelaide Oval, Adelaide; Syd = Sydney Football Stadium, Sydney</t>
  </si>
  <si>
    <t>Sydney Football Stadium, Sydney</t>
  </si>
  <si>
    <t>10-10</t>
  </si>
  <si>
    <r>
      <rPr>
        <sz val="11"/>
        <color rgb="FFFF0000"/>
        <rFont val="Calibri"/>
        <family val="2"/>
        <scheme val="minor"/>
      </rPr>
      <t xml:space="preserve">14 </t>
    </r>
    <r>
      <rPr>
        <sz val="11"/>
        <color theme="1"/>
        <rFont val="Calibri"/>
        <family val="2"/>
        <scheme val="minor"/>
      </rPr>
      <t>Nzl v Aus (Sp 15)</t>
    </r>
  </si>
  <si>
    <t>Thu 15 Sep</t>
  </si>
  <si>
    <t>Rugby Championship Round 5</t>
  </si>
  <si>
    <t>Marvel Stadium, Melbourne</t>
  </si>
  <si>
    <t>Ba</t>
  </si>
  <si>
    <t>Hm = FMG Stadium, Hamilton; Ba = Estadio Libertadores de America, Buenos Aires</t>
  </si>
  <si>
    <t>Penalty Tries: v RSA (Sp 17)</t>
  </si>
  <si>
    <t>6-22</t>
  </si>
  <si>
    <t>22-6</t>
  </si>
  <si>
    <t>Estadio Libertadores de America, Buenos Aires</t>
  </si>
  <si>
    <t>Barrett B, Frizzell, Newell, Papalii</t>
  </si>
  <si>
    <t>15 v 11</t>
  </si>
  <si>
    <t>Penbalty Tries: v Aus (Sp 24)</t>
  </si>
  <si>
    <t>17-0</t>
  </si>
  <si>
    <t>0-17</t>
  </si>
  <si>
    <t>Mb = Marvel Stadium, Melbourne; Akl = Eden Park, Auckland</t>
  </si>
  <si>
    <t xml:space="preserve"> Wright (2), Gordon, Holloway, McReight, Philip, Porecki, Swain, Valentini</t>
  </si>
  <si>
    <t>Rugby Championship Round 6</t>
  </si>
  <si>
    <t>Dbn</t>
  </si>
  <si>
    <t>Ba = Estadio Libertadores de America, Buenos Aires; Dbn = Hollywoodbets Kings Park, Durban</t>
  </si>
  <si>
    <t>Penalty Tries: v Wal (9 Jul), Arg (Sp 17), Arg x 2 (Sp 24)</t>
  </si>
  <si>
    <t>17-7</t>
  </si>
  <si>
    <t>7-17</t>
  </si>
  <si>
    <t xml:space="preserve"> de Klerk (2), le Roux (2), Etzebeth, Mapimpi, Smith, Willemse</t>
  </si>
  <si>
    <t>Alemanno, Bertrannou, Carreras S, de la Fuente, Gonzalez, Kremer, Lavanini, Sclavi</t>
  </si>
  <si>
    <r>
      <rPr>
        <sz val="11"/>
        <color rgb="FFFF0000"/>
        <rFont val="Calibri"/>
        <family val="2"/>
        <scheme val="minor"/>
      </rPr>
      <t xml:space="preserve">10 </t>
    </r>
    <r>
      <rPr>
        <sz val="11"/>
        <color theme="1"/>
        <rFont val="Calibri"/>
        <family val="2"/>
        <scheme val="minor"/>
      </rPr>
      <t>Aus v Arg, 6 Aug, Nzl v Arg (Sp 3), RSA v Arg (Sp 24)</t>
    </r>
  </si>
  <si>
    <t>at end of the tournament</t>
  </si>
  <si>
    <t>Hollywoodbets Kings Park, Durban</t>
  </si>
  <si>
    <t>Mb = Marvel Stadium, Melbourne; Tky = National Stadium, Tokyo; Car = Principality Stadium, Cardiff</t>
  </si>
  <si>
    <t>Pad</t>
  </si>
  <si>
    <t>ANS</t>
  </si>
  <si>
    <t>Mal</t>
  </si>
  <si>
    <t>Kw = Sunshine Coast Stadium, Kawana Waters; Mal = Stadium Ciudad de Malaga, Malaga</t>
  </si>
  <si>
    <t>PNC = Pacific Nations Cup; ANS = Autumn Nations Series</t>
  </si>
  <si>
    <t>6N = Six Nations; INT = International; ANS = Autumn Nations Series</t>
  </si>
  <si>
    <t>BC = Bledisloe Cup; RC = The Rugby Championship; ANS = Autumn Nations Series; HS = Hillary Shield</t>
  </si>
  <si>
    <t>RC = The Rugby Championship; ANS = Autumn Nations Series; PW = Prince William Cup</t>
  </si>
  <si>
    <t>Kit = Mikuni World Stadium, Kitakyushu; Tbi = Dinamo Arena, Tbilisi</t>
  </si>
  <si>
    <t>Suv = ANZ Stadium, Suva; Mfl = BT Murrayfield, Edinburgh; Dbl = Aviva Stadium, Dublin</t>
  </si>
  <si>
    <t>Flo</t>
  </si>
  <si>
    <t>Pad = Stadio Plebiscito, Padova; Flo = Stadio Artemio Franchi, Florence</t>
  </si>
  <si>
    <t>Mfl = BT Murrayfield, Edinburgh; Prs = Stade de France, Paris; Flo = Stadio Artemio Franchi, Florence</t>
  </si>
  <si>
    <t>Toy = Toyota Stadium, Toyota; Tky = National Stadium, Tokyo; Tw = Twickenham Stadium, London</t>
  </si>
  <si>
    <t>Tbi = Dinamo Arena, Tbilisi</t>
  </si>
  <si>
    <t>Dbn = Hollywoodbets Kings Park, Durban; Car = Principality Stadium, Cardiff</t>
  </si>
  <si>
    <t>Mrs</t>
  </si>
  <si>
    <t>Tky = National Stadium, Tokyo; Mrs = Stade Velodrome, Marseille</t>
  </si>
  <si>
    <t>Mfl = BT Murrayfield, Edinburgh</t>
  </si>
  <si>
    <t>Mrd = Estadio Nacional Complutense,Madrid; Ams = National Rugby Centre Stadium, Amsterdam</t>
  </si>
  <si>
    <t>Gen</t>
  </si>
  <si>
    <t>Gen = Stadio Luigi Ferraris, Genoa</t>
  </si>
  <si>
    <t>Dbl = Aviva Stadium, Dublin; Mrs = Stade Velodrome, Marseille; Gen = Stadio Luigi Ferraris, Genoa</t>
  </si>
  <si>
    <t xml:space="preserve">Car = Principality Stadium, Cardiff </t>
  </si>
  <si>
    <t>Ssv = Estadio 23 de Agosto, San Salvador de Jujuy; Sal = Estadio Padre Ernesto Martearena, Salta</t>
  </si>
  <si>
    <t>Bht = Stadionul Arcul de Triumf, Bucharest; Pad = Stadio Plebiscito, Padova</t>
  </si>
  <si>
    <t>LT</t>
  </si>
  <si>
    <t>6N = Six Nations; INT = International; ANS = Autumn Nations Series; LT = Lansdowne Trophy (also ANS)</t>
  </si>
  <si>
    <t>HC</t>
  </si>
  <si>
    <t>TB = Trophee des Bicentenaires (also ANS); BC = Bledisloe Cup; RC = The Rugby Championship</t>
  </si>
  <si>
    <t>Tls</t>
  </si>
  <si>
    <t>Tls = Stadium Toulouse, Toulouse</t>
  </si>
  <si>
    <t>EM = Ella-Mobbs Trophy; HC = Hopetoun Cup (Also ANS); LT = Lansdowne Trophy (Also ANS)</t>
  </si>
  <si>
    <t>INT = International; ANS = Autumn Nations Series</t>
  </si>
  <si>
    <t>JBT</t>
  </si>
  <si>
    <t>PW = Prince William Cup; JBT = James Bevan Trophy (also ANS)</t>
  </si>
  <si>
    <t>ANS = Autumn Nations Series; JBT = James Bevan Trophy (also ANS)</t>
  </si>
  <si>
    <t>6N = Six Nations; INT = International; ANS = Autumn Nations Series; HC = Hopetoun Cup (Also ANS)</t>
  </si>
  <si>
    <t xml:space="preserve"> ANS = Autumn Nations Series</t>
  </si>
  <si>
    <t>6N = Six Nations; INT = International; TB = Trophee des Bicentenaires (also ANS)</t>
  </si>
  <si>
    <t>EM = Ella-Mobbs Cup; HS = Hillary Shield (also ANS)</t>
  </si>
  <si>
    <t>15-22</t>
  </si>
  <si>
    <t>22-15</t>
  </si>
  <si>
    <t>International</t>
  </si>
  <si>
    <t>5-6</t>
  </si>
  <si>
    <t>6-5</t>
  </si>
  <si>
    <t>Mfl = BT Murrayfield, Edinburgh; Tw = Twickenham Stadium, London</t>
  </si>
  <si>
    <t>RAQ</t>
  </si>
  <si>
    <t>RAS</t>
  </si>
  <si>
    <t>WC</t>
  </si>
  <si>
    <t>INT = International; RC = The Rugby Championship; ANS = Autumn Nations Series</t>
  </si>
  <si>
    <t>Olly Hodges (Ire)</t>
  </si>
  <si>
    <t>Damian Schneider (Arg)</t>
  </si>
  <si>
    <t>Eoghan Cross (Ire)</t>
  </si>
  <si>
    <t>2023 World Cup Final Qualification Tournament, Round 1</t>
  </si>
  <si>
    <t>The Sevens, Dubai</t>
  </si>
  <si>
    <t>20-7</t>
  </si>
  <si>
    <t>Marius van der Westuizen (RSA)</t>
  </si>
  <si>
    <t>Peter Martin (Ire)</t>
  </si>
  <si>
    <t>Estadio Ciudad de Malaga, Malaga</t>
  </si>
  <si>
    <t>Adrien Maribot</t>
  </si>
  <si>
    <t>24-13</t>
  </si>
  <si>
    <t>Moe Chaudhry (Can)</t>
  </si>
  <si>
    <t>13-24</t>
  </si>
  <si>
    <t>Hopetoun Cup/Autumn Nations Series</t>
  </si>
  <si>
    <t>Autumn Nations Series</t>
  </si>
  <si>
    <t>14-12</t>
  </si>
  <si>
    <t>12-14</t>
  </si>
  <si>
    <t>28-0</t>
  </si>
  <si>
    <t>Katlil Harrison (USA)</t>
  </si>
  <si>
    <t>0-28</t>
  </si>
  <si>
    <t>Stadio Plebiscito, Padova</t>
  </si>
  <si>
    <t>Gianluca Gnecchi (ita)</t>
  </si>
  <si>
    <t>22-13</t>
  </si>
  <si>
    <t>Trophee des Bicentenaires/Autumn Nations Series</t>
  </si>
  <si>
    <t>16-12</t>
  </si>
  <si>
    <t>12-16</t>
  </si>
  <si>
    <t>2023 World Cup Final Qualification Tournament, Round 2</t>
  </si>
  <si>
    <t>AJ Jacobs (RSA)</t>
  </si>
  <si>
    <t>13-3</t>
  </si>
  <si>
    <t>Luc Ramos (Fra)</t>
  </si>
  <si>
    <t>ben Breakspear (Wal)</t>
  </si>
  <si>
    <t>Benoit Rousselet (Fra)</t>
  </si>
  <si>
    <t>Jeremy Rozier (Fra)</t>
  </si>
  <si>
    <t>Vivien Praderie (Fra)</t>
  </si>
  <si>
    <t>Kahlil Harrison (USA)</t>
  </si>
  <si>
    <t>Matteo Liperini (Ita)</t>
  </si>
  <si>
    <t>13-6</t>
  </si>
  <si>
    <t>Sean Brickell (Wal)</t>
  </si>
  <si>
    <t>Adrien Marbot (Fra)</t>
  </si>
  <si>
    <t>Jean Basptiste Nuchy (Fra)</t>
  </si>
  <si>
    <t>6-13</t>
  </si>
  <si>
    <t>21-10</t>
  </si>
  <si>
    <t>10-21</t>
  </si>
  <si>
    <t>Stadio Artemio Franchi, Florence</t>
  </si>
  <si>
    <t>Tuisue</t>
  </si>
  <si>
    <t>Fifita</t>
  </si>
  <si>
    <t>Stade Veodrome, Marseille</t>
  </si>
  <si>
    <t>16-10</t>
  </si>
  <si>
    <t>10-16</t>
  </si>
  <si>
    <t>Dupont</t>
  </si>
  <si>
    <t>Fourie, Kolbe</t>
  </si>
  <si>
    <t>14 v 13</t>
  </si>
  <si>
    <t>Penalty Tries: v Eng (5 Feb), Nzl (Nv 13)</t>
  </si>
  <si>
    <t>Penalty Tries: v Jpn (Nv 12)</t>
  </si>
  <si>
    <t>17-14</t>
  </si>
  <si>
    <t>14-17</t>
  </si>
  <si>
    <t>Habosi, Natave, Ratuniyarawa A, Rotusolia, Saulo</t>
  </si>
  <si>
    <t>12-3</t>
  </si>
  <si>
    <t>Gianluca Gnecchi (Ita)</t>
  </si>
  <si>
    <t>3-12</t>
  </si>
  <si>
    <t>3-0</t>
  </si>
  <si>
    <t>0-3</t>
  </si>
  <si>
    <t>Lansdowne Cup/Autumn Nations Series</t>
  </si>
  <si>
    <t>Stadio Luigi Ferraris, Genoa</t>
  </si>
  <si>
    <t>13-18</t>
  </si>
  <si>
    <t>18-13</t>
  </si>
  <si>
    <t>19-15</t>
  </si>
  <si>
    <t>15-19</t>
  </si>
  <si>
    <r>
      <rPr>
        <sz val="11"/>
        <color rgb="FFFF0000"/>
        <rFont val="Calibri"/>
        <family val="2"/>
        <scheme val="minor"/>
      </rPr>
      <t>12</t>
    </r>
    <r>
      <rPr>
        <sz val="11"/>
        <color theme="1"/>
        <rFont val="Calibri"/>
        <family val="2"/>
        <scheme val="minor"/>
      </rPr>
      <t xml:space="preserve"> Sco v Arg (Nv 19)</t>
    </r>
  </si>
  <si>
    <t>Hillary Shield/Autumn Nations Series</t>
  </si>
  <si>
    <t>Nia Amashukeli (Geo)</t>
  </si>
  <si>
    <t>Kremer</t>
  </si>
  <si>
    <t>Alemanno, Gallo, Lavanini</t>
  </si>
  <si>
    <t>Barrett B, Lienert-Brown</t>
  </si>
  <si>
    <t>Dempsey, Hogg, Graham, Ritchie, Tuipulotu, Young</t>
  </si>
  <si>
    <t>21-3</t>
  </si>
  <si>
    <t>3-21</t>
  </si>
  <si>
    <t>Stadium Municipal, Toulouse</t>
  </si>
  <si>
    <t>Ukraine</t>
  </si>
  <si>
    <t>Rugby Academy, Siaulia</t>
  </si>
  <si>
    <t>Malmo Stadion, Malmo</t>
  </si>
  <si>
    <t>Stadion Stjepan Spajic, Zagreb</t>
  </si>
  <si>
    <t>Oval Stanezici, Ljubljana</t>
  </si>
  <si>
    <t xml:space="preserve">Malta </t>
  </si>
  <si>
    <t>Hibernians Stadium, Kordin</t>
  </si>
  <si>
    <t>Stadion Oval Gunclje, Ljubljana</t>
  </si>
  <si>
    <t>RK Speed, Copenhagen</t>
  </si>
  <si>
    <t>Myllypuro Sports Park, Helsinki</t>
  </si>
  <si>
    <t>Montenegro</t>
  </si>
  <si>
    <t>Stadion Kralj Petar I, Belgrade</t>
  </si>
  <si>
    <t>Vakfıkebir İlçe Stadyumu, Trabzon</t>
  </si>
  <si>
    <t>Stadion Topolica, Bar</t>
  </si>
  <si>
    <t>Stade Juan Antonio Samaranch, Lausanne</t>
  </si>
  <si>
    <t>Maroni Community Stadium, Larnaca</t>
  </si>
  <si>
    <t>Rugby Club Stadium, Zlín</t>
  </si>
  <si>
    <t>32-12</t>
  </si>
  <si>
    <t>12-32</t>
  </si>
  <si>
    <t>Penalty Tries: v Tga (19 Nov)</t>
  </si>
  <si>
    <t>24-24</t>
  </si>
  <si>
    <t>Thomas Charabas (Fra)</t>
  </si>
  <si>
    <t>Eoghan Cross (ire)</t>
  </si>
  <si>
    <t>20-13</t>
  </si>
  <si>
    <t>13-20</t>
  </si>
  <si>
    <t>Fainga'a (2), Gordon(2), Robertson</t>
  </si>
  <si>
    <t>Cuthbert, Elias, Rowlands, Tipuric</t>
  </si>
  <si>
    <r>
      <rPr>
        <sz val="11"/>
        <color rgb="FFFF0000"/>
        <rFont val="Calibri"/>
        <family val="2"/>
        <scheme val="minor"/>
      </rPr>
      <t>14</t>
    </r>
    <r>
      <rPr>
        <sz val="11"/>
        <color theme="1"/>
        <rFont val="Calibri"/>
        <family val="2"/>
        <scheme val="minor"/>
      </rPr>
      <t xml:space="preserve"> Ire v Fij (Nv 12), Nzl v Sco (Nv 13), Sco v Arg (Nv 19), Eng v Nzl (Nv 19), Wal v Aus (Nv 26)</t>
    </r>
  </si>
  <si>
    <r>
      <rPr>
        <sz val="11"/>
        <color rgb="FFFF0000"/>
        <rFont val="Calibri"/>
        <family val="2"/>
        <scheme val="minor"/>
      </rPr>
      <t>21</t>
    </r>
    <r>
      <rPr>
        <sz val="11"/>
        <color theme="1"/>
        <rFont val="Calibri"/>
        <family val="2"/>
        <scheme val="minor"/>
      </rPr>
      <t xml:space="preserve"> Aus v Wal (Nv 26)</t>
    </r>
  </si>
  <si>
    <t>3-14</t>
  </si>
  <si>
    <t>14-3</t>
  </si>
  <si>
    <t>Curry T, May</t>
  </si>
  <si>
    <r>
      <rPr>
        <sz val="11"/>
        <color rgb="FFFF0000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 xml:space="preserve"> RSA v Eng (Nv 26)</t>
    </r>
  </si>
  <si>
    <t>at end of series</t>
  </si>
  <si>
    <t>du Toit P-S, du Toit T</t>
  </si>
  <si>
    <t>Titles</t>
  </si>
  <si>
    <t>GS</t>
  </si>
  <si>
    <t>TC</t>
  </si>
  <si>
    <t>WS</t>
  </si>
  <si>
    <t>Tries Conc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</si>
</sst>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8"/>
      <color theme="1"/>
      <name val="Calibri"/>
      <family val="2"/>
    </font>
    <font>
      <b/>
      <sz val="11"/>
      <color rgb="FF0070C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4" tint="0.59999389629810485"/>
      <name val="Calibri"/>
      <family val="2"/>
      <scheme val="minor"/>
    </font>
    <font>
      <sz val="11"/>
      <color theme="4" tint="0.59999389629810485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color theme="3" tint="0.59999389629810485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b/>
      <sz val="11"/>
      <color rgb="FFFFC000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theme="5" tint="0.59999389629810485"/>
      <name val="Calibri"/>
      <family val="2"/>
      <scheme val="minor"/>
    </font>
    <font>
      <sz val="11"/>
      <color theme="5" tint="0.59999389629810485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theme="8" tint="0.39997558519241921"/>
      <name val="Calibri"/>
      <family val="2"/>
      <scheme val="minor"/>
    </font>
    <font>
      <sz val="11"/>
      <color theme="8" tint="0.39997558519241921"/>
      <name val="Calibri"/>
      <family val="2"/>
      <scheme val="minor"/>
    </font>
    <font>
      <sz val="11"/>
      <color rgb="FF000000"/>
      <name val="Calibri"/>
      <family val="2"/>
    </font>
    <font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1"/>
      <color theme="7" tint="0.39997558519241921"/>
      <name val="Calibri"/>
      <family val="2"/>
      <scheme val="minor"/>
    </font>
    <font>
      <sz val="11"/>
      <color theme="7" tint="0.3999755851924192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sz val="11"/>
      <color theme="1"/>
      <name val="Calibri"/>
      <family val="2"/>
    </font>
    <font>
      <sz val="10"/>
      <color theme="3" tint="0.59999389629810485"/>
      <name val="Calibri"/>
      <family val="2"/>
      <scheme val="minor"/>
    </font>
    <font>
      <b/>
      <sz val="11"/>
      <color theme="0" tint="-0.14999847407452621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4B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A03A7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7030A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89">
    <xf numFmtId="0" fontId="0" fillId="0" borderId="0" xfId="0"/>
    <xf numFmtId="0" fontId="16" fillId="4" borderId="2" xfId="0" applyFont="1" applyFill="1" applyBorder="1"/>
    <xf numFmtId="0" fontId="17" fillId="4" borderId="7" xfId="0" applyFont="1" applyFill="1" applyBorder="1"/>
    <xf numFmtId="49" fontId="17" fillId="4" borderId="7" xfId="0" applyNumberFormat="1" applyFont="1" applyFill="1" applyBorder="1"/>
    <xf numFmtId="0" fontId="17" fillId="4" borderId="8" xfId="0" applyFont="1" applyFill="1" applyBorder="1"/>
    <xf numFmtId="0" fontId="17" fillId="4" borderId="9" xfId="0" applyFont="1" applyFill="1" applyBorder="1"/>
    <xf numFmtId="0" fontId="16" fillId="4" borderId="1" xfId="0" applyFont="1" applyFill="1" applyBorder="1"/>
    <xf numFmtId="0" fontId="16" fillId="4" borderId="10" xfId="0" applyFont="1" applyFill="1" applyBorder="1" applyAlignment="1">
      <alignment vertical="center" wrapText="1"/>
    </xf>
    <xf numFmtId="0" fontId="16" fillId="4" borderId="5" xfId="0" applyFont="1" applyFill="1" applyBorder="1" applyAlignment="1">
      <alignment vertical="center" wrapText="1"/>
    </xf>
    <xf numFmtId="0" fontId="16" fillId="4" borderId="1" xfId="0" applyFont="1" applyFill="1" applyBorder="1" applyAlignment="1">
      <alignment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vertical="center" wrapText="1"/>
    </xf>
    <xf numFmtId="0" fontId="16" fillId="3" borderId="0" xfId="0" applyFont="1" applyFill="1"/>
    <xf numFmtId="0" fontId="0" fillId="3" borderId="0" xfId="0" applyFill="1"/>
    <xf numFmtId="0" fontId="19" fillId="0" borderId="0" xfId="0" applyFont="1"/>
    <xf numFmtId="0" fontId="18" fillId="9" borderId="1" xfId="0" applyFont="1" applyFill="1" applyBorder="1"/>
    <xf numFmtId="0" fontId="18" fillId="9" borderId="2" xfId="0" applyFont="1" applyFill="1" applyBorder="1"/>
    <xf numFmtId="0" fontId="18" fillId="9" borderId="11" xfId="0" applyFont="1" applyFill="1" applyBorder="1"/>
    <xf numFmtId="0" fontId="18" fillId="9" borderId="10" xfId="0" applyFont="1" applyFill="1" applyBorder="1" applyAlignment="1">
      <alignment vertical="center" wrapText="1"/>
    </xf>
    <xf numFmtId="0" fontId="18" fillId="9" borderId="5" xfId="0" applyFont="1" applyFill="1" applyBorder="1" applyAlignment="1">
      <alignment vertical="center" wrapText="1"/>
    </xf>
    <xf numFmtId="0" fontId="18" fillId="9" borderId="1" xfId="0" applyFont="1" applyFill="1" applyBorder="1" applyAlignment="1">
      <alignment vertical="center" wrapText="1"/>
    </xf>
    <xf numFmtId="0" fontId="18" fillId="9" borderId="1" xfId="0" applyFont="1" applyFill="1" applyBorder="1" applyAlignment="1">
      <alignment horizontal="center" vertical="center" wrapText="1"/>
    </xf>
    <xf numFmtId="0" fontId="18" fillId="9" borderId="6" xfId="0" applyFont="1" applyFill="1" applyBorder="1" applyAlignment="1">
      <alignment horizontal="center" vertical="center" wrapText="1"/>
    </xf>
    <xf numFmtId="0" fontId="15" fillId="9" borderId="7" xfId="0" applyFont="1" applyFill="1" applyBorder="1"/>
    <xf numFmtId="49" fontId="15" fillId="9" borderId="7" xfId="0" applyNumberFormat="1" applyFont="1" applyFill="1" applyBorder="1"/>
    <xf numFmtId="0" fontId="15" fillId="9" borderId="8" xfId="0" applyFont="1" applyFill="1" applyBorder="1"/>
    <xf numFmtId="0" fontId="15" fillId="9" borderId="9" xfId="0" applyFont="1" applyFill="1" applyBorder="1"/>
    <xf numFmtId="0" fontId="10" fillId="10" borderId="1" xfId="0" applyFont="1" applyFill="1" applyBorder="1"/>
    <xf numFmtId="0" fontId="10" fillId="10" borderId="2" xfId="0" applyFont="1" applyFill="1" applyBorder="1"/>
    <xf numFmtId="0" fontId="10" fillId="10" borderId="11" xfId="0" applyFont="1" applyFill="1" applyBorder="1"/>
    <xf numFmtId="0" fontId="10" fillId="10" borderId="10" xfId="0" applyFont="1" applyFill="1" applyBorder="1" applyAlignment="1">
      <alignment vertical="center" wrapText="1"/>
    </xf>
    <xf numFmtId="0" fontId="10" fillId="10" borderId="5" xfId="0" applyFont="1" applyFill="1" applyBorder="1" applyAlignment="1">
      <alignment vertical="center" wrapText="1"/>
    </xf>
    <xf numFmtId="0" fontId="10" fillId="10" borderId="1" xfId="0" applyFont="1" applyFill="1" applyBorder="1" applyAlignment="1">
      <alignment vertical="center" wrapText="1"/>
    </xf>
    <xf numFmtId="0" fontId="10" fillId="10" borderId="1" xfId="0" applyFont="1" applyFill="1" applyBorder="1" applyAlignment="1">
      <alignment horizontal="center" vertical="center" wrapText="1"/>
    </xf>
    <xf numFmtId="0" fontId="10" fillId="10" borderId="6" xfId="0" applyFont="1" applyFill="1" applyBorder="1" applyAlignment="1">
      <alignment horizontal="center" vertical="center" wrapText="1"/>
    </xf>
    <xf numFmtId="0" fontId="8" fillId="10" borderId="7" xfId="0" applyFont="1" applyFill="1" applyBorder="1"/>
    <xf numFmtId="49" fontId="8" fillId="10" borderId="7" xfId="0" applyNumberFormat="1" applyFont="1" applyFill="1" applyBorder="1"/>
    <xf numFmtId="0" fontId="8" fillId="10" borderId="8" xfId="0" applyFont="1" applyFill="1" applyBorder="1"/>
    <xf numFmtId="0" fontId="8" fillId="10" borderId="12" xfId="0" applyFont="1" applyFill="1" applyBorder="1"/>
    <xf numFmtId="0" fontId="8" fillId="10" borderId="9" xfId="0" applyFont="1" applyFill="1" applyBorder="1"/>
    <xf numFmtId="0" fontId="9" fillId="3" borderId="1" xfId="0" applyFont="1" applyFill="1" applyBorder="1"/>
    <xf numFmtId="0" fontId="9" fillId="3" borderId="2" xfId="0" applyFont="1" applyFill="1" applyBorder="1"/>
    <xf numFmtId="0" fontId="9" fillId="3" borderId="11" xfId="0" applyFont="1" applyFill="1" applyBorder="1"/>
    <xf numFmtId="0" fontId="9" fillId="3" borderId="5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0" fillId="3" borderId="7" xfId="0" applyFill="1" applyBorder="1"/>
    <xf numFmtId="49" fontId="0" fillId="3" borderId="7" xfId="0" applyNumberFormat="1" applyFill="1" applyBorder="1"/>
    <xf numFmtId="0" fontId="0" fillId="3" borderId="8" xfId="0" applyFill="1" applyBorder="1"/>
    <xf numFmtId="0" fontId="0" fillId="3" borderId="9" xfId="0" applyFill="1" applyBorder="1"/>
    <xf numFmtId="0" fontId="16" fillId="4" borderId="11" xfId="0" applyFont="1" applyFill="1" applyBorder="1"/>
    <xf numFmtId="0" fontId="17" fillId="4" borderId="12" xfId="0" applyFont="1" applyFill="1" applyBorder="1"/>
    <xf numFmtId="0" fontId="16" fillId="7" borderId="1" xfId="0" applyFont="1" applyFill="1" applyBorder="1"/>
    <xf numFmtId="0" fontId="16" fillId="7" borderId="2" xfId="0" applyFont="1" applyFill="1" applyBorder="1"/>
    <xf numFmtId="0" fontId="16" fillId="7" borderId="11" xfId="0" applyFont="1" applyFill="1" applyBorder="1"/>
    <xf numFmtId="0" fontId="16" fillId="7" borderId="10" xfId="0" applyFont="1" applyFill="1" applyBorder="1" applyAlignment="1">
      <alignment vertical="center" wrapText="1"/>
    </xf>
    <xf numFmtId="0" fontId="16" fillId="7" borderId="5" xfId="0" applyFont="1" applyFill="1" applyBorder="1" applyAlignment="1">
      <alignment vertical="center" wrapText="1"/>
    </xf>
    <xf numFmtId="0" fontId="16" fillId="7" borderId="1" xfId="0" applyFont="1" applyFill="1" applyBorder="1" applyAlignment="1">
      <alignment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16" fillId="7" borderId="6" xfId="0" applyFont="1" applyFill="1" applyBorder="1" applyAlignment="1">
      <alignment horizontal="center" vertical="center" wrapText="1"/>
    </xf>
    <xf numFmtId="0" fontId="17" fillId="7" borderId="7" xfId="0" applyFont="1" applyFill="1" applyBorder="1"/>
    <xf numFmtId="49" fontId="17" fillId="7" borderId="7" xfId="0" applyNumberFormat="1" applyFont="1" applyFill="1" applyBorder="1"/>
    <xf numFmtId="0" fontId="17" fillId="7" borderId="8" xfId="0" applyFont="1" applyFill="1" applyBorder="1"/>
    <xf numFmtId="0" fontId="17" fillId="7" borderId="12" xfId="0" applyFont="1" applyFill="1" applyBorder="1"/>
    <xf numFmtId="0" fontId="17" fillId="7" borderId="9" xfId="0" applyFont="1" applyFill="1" applyBorder="1"/>
    <xf numFmtId="0" fontId="16" fillId="12" borderId="1" xfId="0" applyFont="1" applyFill="1" applyBorder="1"/>
    <xf numFmtId="0" fontId="16" fillId="12" borderId="2" xfId="0" applyFont="1" applyFill="1" applyBorder="1"/>
    <xf numFmtId="0" fontId="16" fillId="12" borderId="11" xfId="0" applyFont="1" applyFill="1" applyBorder="1"/>
    <xf numFmtId="0" fontId="16" fillId="12" borderId="10" xfId="0" applyFont="1" applyFill="1" applyBorder="1" applyAlignment="1">
      <alignment vertical="center" wrapText="1"/>
    </xf>
    <xf numFmtId="0" fontId="16" fillId="12" borderId="5" xfId="0" applyFont="1" applyFill="1" applyBorder="1" applyAlignment="1">
      <alignment vertical="center" wrapText="1"/>
    </xf>
    <xf numFmtId="0" fontId="16" fillId="12" borderId="1" xfId="0" applyFont="1" applyFill="1" applyBorder="1" applyAlignment="1">
      <alignment vertical="center" wrapText="1"/>
    </xf>
    <xf numFmtId="0" fontId="16" fillId="12" borderId="1" xfId="0" applyFont="1" applyFill="1" applyBorder="1" applyAlignment="1">
      <alignment horizontal="center" vertical="center" wrapText="1"/>
    </xf>
    <xf numFmtId="0" fontId="16" fillId="12" borderId="6" xfId="0" applyFont="1" applyFill="1" applyBorder="1" applyAlignment="1">
      <alignment horizontal="center" vertical="center" wrapText="1"/>
    </xf>
    <xf numFmtId="0" fontId="17" fillId="12" borderId="7" xfId="0" applyFont="1" applyFill="1" applyBorder="1"/>
    <xf numFmtId="49" fontId="17" fillId="12" borderId="7" xfId="0" applyNumberFormat="1" applyFont="1" applyFill="1" applyBorder="1"/>
    <xf numFmtId="0" fontId="17" fillId="12" borderId="8" xfId="0" applyFont="1" applyFill="1" applyBorder="1"/>
    <xf numFmtId="0" fontId="17" fillId="12" borderId="12" xfId="0" applyFont="1" applyFill="1" applyBorder="1"/>
    <xf numFmtId="0" fontId="17" fillId="12" borderId="9" xfId="0" applyFont="1" applyFill="1" applyBorder="1"/>
    <xf numFmtId="0" fontId="16" fillId="13" borderId="1" xfId="0" applyFont="1" applyFill="1" applyBorder="1"/>
    <xf numFmtId="0" fontId="16" fillId="13" borderId="2" xfId="0" applyFont="1" applyFill="1" applyBorder="1"/>
    <xf numFmtId="0" fontId="16" fillId="13" borderId="11" xfId="0" applyFont="1" applyFill="1" applyBorder="1"/>
    <xf numFmtId="0" fontId="16" fillId="13" borderId="10" xfId="0" applyFont="1" applyFill="1" applyBorder="1" applyAlignment="1">
      <alignment vertical="center" wrapText="1"/>
    </xf>
    <xf numFmtId="0" fontId="16" fillId="13" borderId="5" xfId="0" applyFont="1" applyFill="1" applyBorder="1" applyAlignment="1">
      <alignment vertical="center" wrapText="1"/>
    </xf>
    <xf numFmtId="0" fontId="16" fillId="13" borderId="1" xfId="0" applyFont="1" applyFill="1" applyBorder="1" applyAlignment="1">
      <alignment vertical="center" wrapText="1"/>
    </xf>
    <xf numFmtId="0" fontId="16" fillId="13" borderId="1" xfId="0" applyFont="1" applyFill="1" applyBorder="1" applyAlignment="1">
      <alignment horizontal="center" vertical="center" wrapText="1"/>
    </xf>
    <xf numFmtId="0" fontId="16" fillId="13" borderId="6" xfId="0" applyFont="1" applyFill="1" applyBorder="1" applyAlignment="1">
      <alignment horizontal="center" vertical="center" wrapText="1"/>
    </xf>
    <xf numFmtId="0" fontId="17" fillId="13" borderId="7" xfId="0" applyFont="1" applyFill="1" applyBorder="1"/>
    <xf numFmtId="0" fontId="17" fillId="13" borderId="8" xfId="0" applyFont="1" applyFill="1" applyBorder="1"/>
    <xf numFmtId="0" fontId="17" fillId="13" borderId="12" xfId="0" applyFont="1" applyFill="1" applyBorder="1"/>
    <xf numFmtId="0" fontId="17" fillId="13" borderId="9" xfId="0" applyFont="1" applyFill="1" applyBorder="1"/>
    <xf numFmtId="0" fontId="24" fillId="6" borderId="1" xfId="0" applyFont="1" applyFill="1" applyBorder="1"/>
    <xf numFmtId="0" fontId="24" fillId="6" borderId="2" xfId="0" applyFont="1" applyFill="1" applyBorder="1"/>
    <xf numFmtId="0" fontId="24" fillId="6" borderId="11" xfId="0" applyFont="1" applyFill="1" applyBorder="1"/>
    <xf numFmtId="0" fontId="24" fillId="6" borderId="10" xfId="0" applyFont="1" applyFill="1" applyBorder="1" applyAlignment="1">
      <alignment vertical="center" wrapText="1"/>
    </xf>
    <xf numFmtId="0" fontId="24" fillId="6" borderId="5" xfId="0" applyFont="1" applyFill="1" applyBorder="1" applyAlignment="1">
      <alignment vertical="center" wrapText="1"/>
    </xf>
    <xf numFmtId="0" fontId="24" fillId="6" borderId="1" xfId="0" applyFont="1" applyFill="1" applyBorder="1" applyAlignment="1">
      <alignment vertical="center" wrapText="1"/>
    </xf>
    <xf numFmtId="0" fontId="24" fillId="6" borderId="1" xfId="0" applyFont="1" applyFill="1" applyBorder="1" applyAlignment="1">
      <alignment horizontal="center" vertical="center" wrapText="1"/>
    </xf>
    <xf numFmtId="0" fontId="24" fillId="6" borderId="6" xfId="0" applyFont="1" applyFill="1" applyBorder="1" applyAlignment="1">
      <alignment horizontal="center" vertical="center" wrapText="1"/>
    </xf>
    <xf numFmtId="0" fontId="25" fillId="6" borderId="7" xfId="0" applyFont="1" applyFill="1" applyBorder="1"/>
    <xf numFmtId="49" fontId="25" fillId="6" borderId="7" xfId="0" applyNumberFormat="1" applyFont="1" applyFill="1" applyBorder="1"/>
    <xf numFmtId="0" fontId="25" fillId="6" borderId="8" xfId="0" applyFont="1" applyFill="1" applyBorder="1"/>
    <xf numFmtId="0" fontId="25" fillId="6" borderId="12" xfId="0" applyFont="1" applyFill="1" applyBorder="1"/>
    <xf numFmtId="0" fontId="25" fillId="6" borderId="9" xfId="0" applyFont="1" applyFill="1" applyBorder="1"/>
    <xf numFmtId="0" fontId="20" fillId="2" borderId="1" xfId="0" applyFont="1" applyFill="1" applyBorder="1"/>
    <xf numFmtId="0" fontId="20" fillId="2" borderId="2" xfId="0" applyFont="1" applyFill="1" applyBorder="1"/>
    <xf numFmtId="0" fontId="20" fillId="2" borderId="10" xfId="0" applyFont="1" applyFill="1" applyBorder="1" applyAlignment="1">
      <alignment vertical="center" wrapText="1"/>
    </xf>
    <xf numFmtId="0" fontId="20" fillId="2" borderId="5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/>
    <xf numFmtId="49" fontId="11" fillId="2" borderId="7" xfId="0" applyNumberFormat="1" applyFont="1" applyFill="1" applyBorder="1"/>
    <xf numFmtId="0" fontId="11" fillId="2" borderId="8" xfId="0" applyFont="1" applyFill="1" applyBorder="1"/>
    <xf numFmtId="0" fontId="16" fillId="11" borderId="1" xfId="0" applyFont="1" applyFill="1" applyBorder="1"/>
    <xf numFmtId="0" fontId="16" fillId="11" borderId="2" xfId="0" applyFont="1" applyFill="1" applyBorder="1"/>
    <xf numFmtId="0" fontId="16" fillId="11" borderId="11" xfId="0" applyFont="1" applyFill="1" applyBorder="1"/>
    <xf numFmtId="0" fontId="16" fillId="11" borderId="10" xfId="0" applyFont="1" applyFill="1" applyBorder="1" applyAlignment="1">
      <alignment vertical="center" wrapText="1"/>
    </xf>
    <xf numFmtId="0" fontId="16" fillId="11" borderId="5" xfId="0" applyFont="1" applyFill="1" applyBorder="1" applyAlignment="1">
      <alignment vertical="center" wrapText="1"/>
    </xf>
    <xf numFmtId="0" fontId="16" fillId="11" borderId="1" xfId="0" applyFont="1" applyFill="1" applyBorder="1" applyAlignment="1">
      <alignment vertical="center" wrapText="1"/>
    </xf>
    <xf numFmtId="0" fontId="16" fillId="11" borderId="1" xfId="0" applyFont="1" applyFill="1" applyBorder="1" applyAlignment="1">
      <alignment horizontal="center" vertical="center" wrapText="1"/>
    </xf>
    <xf numFmtId="0" fontId="16" fillId="11" borderId="6" xfId="0" applyFont="1" applyFill="1" applyBorder="1" applyAlignment="1">
      <alignment horizontal="center" vertical="center" wrapText="1"/>
    </xf>
    <xf numFmtId="0" fontId="17" fillId="11" borderId="7" xfId="0" applyFont="1" applyFill="1" applyBorder="1"/>
    <xf numFmtId="49" fontId="17" fillId="11" borderId="7" xfId="0" applyNumberFormat="1" applyFont="1" applyFill="1" applyBorder="1"/>
    <xf numFmtId="0" fontId="17" fillId="11" borderId="8" xfId="0" applyFont="1" applyFill="1" applyBorder="1"/>
    <xf numFmtId="0" fontId="17" fillId="11" borderId="12" xfId="0" applyFont="1" applyFill="1" applyBorder="1"/>
    <xf numFmtId="0" fontId="17" fillId="11" borderId="9" xfId="0" applyFont="1" applyFill="1" applyBorder="1"/>
    <xf numFmtId="0" fontId="21" fillId="4" borderId="1" xfId="0" applyFont="1" applyFill="1" applyBorder="1"/>
    <xf numFmtId="0" fontId="21" fillId="4" borderId="2" xfId="0" applyFont="1" applyFill="1" applyBorder="1"/>
    <xf numFmtId="0" fontId="21" fillId="4" borderId="11" xfId="0" applyFont="1" applyFill="1" applyBorder="1"/>
    <xf numFmtId="0" fontId="21" fillId="4" borderId="10" xfId="0" applyFont="1" applyFill="1" applyBorder="1" applyAlignment="1">
      <alignment vertical="center" wrapText="1"/>
    </xf>
    <xf numFmtId="0" fontId="21" fillId="4" borderId="5" xfId="0" applyFont="1" applyFill="1" applyBorder="1" applyAlignment="1">
      <alignment vertical="center" wrapText="1"/>
    </xf>
    <xf numFmtId="0" fontId="21" fillId="4" borderId="1" xfId="0" applyFont="1" applyFill="1" applyBorder="1" applyAlignment="1">
      <alignment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1" fillId="4" borderId="6" xfId="0" applyFont="1" applyFill="1" applyBorder="1" applyAlignment="1">
      <alignment horizontal="center" vertical="center" wrapText="1"/>
    </xf>
    <xf numFmtId="0" fontId="14" fillId="4" borderId="7" xfId="0" applyFont="1" applyFill="1" applyBorder="1"/>
    <xf numFmtId="49" fontId="14" fillId="4" borderId="7" xfId="0" applyNumberFormat="1" applyFont="1" applyFill="1" applyBorder="1"/>
    <xf numFmtId="0" fontId="14" fillId="4" borderId="8" xfId="0" applyFont="1" applyFill="1" applyBorder="1"/>
    <xf numFmtId="0" fontId="14" fillId="4" borderId="9" xfId="0" applyFont="1" applyFill="1" applyBorder="1"/>
    <xf numFmtId="0" fontId="12" fillId="13" borderId="1" xfId="0" applyFont="1" applyFill="1" applyBorder="1"/>
    <xf numFmtId="0" fontId="12" fillId="13" borderId="10" xfId="0" applyFont="1" applyFill="1" applyBorder="1" applyAlignment="1">
      <alignment vertical="center" wrapText="1"/>
    </xf>
    <xf numFmtId="0" fontId="12" fillId="13" borderId="5" xfId="0" applyFont="1" applyFill="1" applyBorder="1" applyAlignment="1">
      <alignment vertical="center" wrapText="1"/>
    </xf>
    <xf numFmtId="0" fontId="12" fillId="13" borderId="1" xfId="0" applyFont="1" applyFill="1" applyBorder="1" applyAlignment="1">
      <alignment vertical="center" wrapText="1"/>
    </xf>
    <xf numFmtId="0" fontId="12" fillId="13" borderId="1" xfId="0" applyFont="1" applyFill="1" applyBorder="1" applyAlignment="1">
      <alignment horizontal="center" vertical="center" wrapText="1"/>
    </xf>
    <xf numFmtId="0" fontId="12" fillId="13" borderId="6" xfId="0" applyFont="1" applyFill="1" applyBorder="1" applyAlignment="1">
      <alignment horizontal="center" vertical="center" wrapText="1"/>
    </xf>
    <xf numFmtId="0" fontId="13" fillId="13" borderId="7" xfId="0" applyFont="1" applyFill="1" applyBorder="1"/>
    <xf numFmtId="0" fontId="13" fillId="13" borderId="8" xfId="0" applyFont="1" applyFill="1" applyBorder="1"/>
    <xf numFmtId="0" fontId="13" fillId="13" borderId="9" xfId="0" applyFont="1" applyFill="1" applyBorder="1"/>
    <xf numFmtId="0" fontId="18" fillId="9" borderId="3" xfId="0" applyFont="1" applyFill="1" applyBorder="1" applyAlignment="1">
      <alignment horizontal="left" wrapText="1"/>
    </xf>
    <xf numFmtId="0" fontId="10" fillId="10" borderId="3" xfId="0" applyFont="1" applyFill="1" applyBorder="1" applyAlignment="1">
      <alignment horizontal="left" wrapText="1"/>
    </xf>
    <xf numFmtId="0" fontId="9" fillId="3" borderId="3" xfId="0" applyFont="1" applyFill="1" applyBorder="1" applyAlignment="1">
      <alignment horizontal="left" wrapText="1"/>
    </xf>
    <xf numFmtId="0" fontId="16" fillId="7" borderId="3" xfId="0" applyFont="1" applyFill="1" applyBorder="1" applyAlignment="1">
      <alignment horizontal="left" wrapText="1"/>
    </xf>
    <xf numFmtId="0" fontId="0" fillId="15" borderId="0" xfId="0" applyFill="1"/>
    <xf numFmtId="0" fontId="0" fillId="5" borderId="0" xfId="0" applyFill="1"/>
    <xf numFmtId="0" fontId="0" fillId="8" borderId="0" xfId="0" applyFill="1"/>
    <xf numFmtId="0" fontId="24" fillId="6" borderId="3" xfId="0" applyFont="1" applyFill="1" applyBorder="1" applyAlignment="1">
      <alignment horizontal="left" wrapText="1"/>
    </xf>
    <xf numFmtId="0" fontId="20" fillId="2" borderId="3" xfId="0" applyFont="1" applyFill="1" applyBorder="1" applyAlignment="1">
      <alignment horizontal="left" wrapText="1"/>
    </xf>
    <xf numFmtId="0" fontId="16" fillId="11" borderId="3" xfId="0" applyFont="1" applyFill="1" applyBorder="1" applyAlignment="1">
      <alignment horizontal="left" wrapText="1"/>
    </xf>
    <xf numFmtId="0" fontId="16" fillId="12" borderId="3" xfId="0" applyFont="1" applyFill="1" applyBorder="1" applyAlignment="1">
      <alignment horizontal="left" wrapText="1"/>
    </xf>
    <xf numFmtId="0" fontId="21" fillId="4" borderId="3" xfId="0" applyFont="1" applyFill="1" applyBorder="1" applyAlignment="1">
      <alignment horizontal="left" wrapText="1"/>
    </xf>
    <xf numFmtId="0" fontId="12" fillId="13" borderId="3" xfId="0" applyFont="1" applyFill="1" applyBorder="1" applyAlignment="1">
      <alignment horizontal="left" wrapText="1"/>
    </xf>
    <xf numFmtId="0" fontId="16" fillId="4" borderId="3" xfId="0" applyFont="1" applyFill="1" applyBorder="1" applyAlignment="1">
      <alignment horizontal="left" wrapText="1"/>
    </xf>
    <xf numFmtId="0" fontId="16" fillId="4" borderId="3" xfId="0" applyFont="1" applyFill="1" applyBorder="1"/>
    <xf numFmtId="0" fontId="21" fillId="4" borderId="3" xfId="0" applyFont="1" applyFill="1" applyBorder="1"/>
    <xf numFmtId="0" fontId="16" fillId="12" borderId="3" xfId="0" applyFont="1" applyFill="1" applyBorder="1"/>
    <xf numFmtId="0" fontId="24" fillId="6" borderId="3" xfId="0" applyFont="1" applyFill="1" applyBorder="1"/>
    <xf numFmtId="0" fontId="16" fillId="13" borderId="3" xfId="0" applyFont="1" applyFill="1" applyBorder="1"/>
    <xf numFmtId="0" fontId="16" fillId="7" borderId="3" xfId="0" applyFont="1" applyFill="1" applyBorder="1"/>
    <xf numFmtId="0" fontId="9" fillId="3" borderId="3" xfId="0" applyFont="1" applyFill="1" applyBorder="1"/>
    <xf numFmtId="0" fontId="10" fillId="10" borderId="3" xfId="0" applyFont="1" applyFill="1" applyBorder="1"/>
    <xf numFmtId="0" fontId="18" fillId="9" borderId="3" xfId="0" applyFont="1" applyFill="1" applyBorder="1"/>
    <xf numFmtId="0" fontId="15" fillId="9" borderId="1" xfId="0" applyFont="1" applyFill="1" applyBorder="1"/>
    <xf numFmtId="0" fontId="0" fillId="3" borderId="1" xfId="0" applyFill="1" applyBorder="1"/>
    <xf numFmtId="0" fontId="14" fillId="4" borderId="1" xfId="0" applyFont="1" applyFill="1" applyBorder="1"/>
    <xf numFmtId="0" fontId="11" fillId="2" borderId="1" xfId="0" applyFont="1" applyFill="1" applyBorder="1"/>
    <xf numFmtId="0" fontId="13" fillId="13" borderId="1" xfId="0" applyFont="1" applyFill="1" applyBorder="1"/>
    <xf numFmtId="0" fontId="16" fillId="13" borderId="3" xfId="0" applyFont="1" applyFill="1" applyBorder="1" applyAlignment="1">
      <alignment horizontal="left" wrapText="1"/>
    </xf>
    <xf numFmtId="49" fontId="17" fillId="13" borderId="7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3" borderId="6" xfId="0" applyFill="1" applyBorder="1" applyAlignment="1">
      <alignment horizontal="right" vertical="center" wrapText="1"/>
    </xf>
    <xf numFmtId="0" fontId="9" fillId="3" borderId="6" xfId="0" applyFont="1" applyFill="1" applyBorder="1" applyAlignment="1">
      <alignment horizontal="right" vertical="center" wrapText="1"/>
    </xf>
    <xf numFmtId="0" fontId="12" fillId="3" borderId="6" xfId="0" applyFont="1" applyFill="1" applyBorder="1" applyAlignment="1">
      <alignment horizontal="right" vertical="center" wrapText="1"/>
    </xf>
    <xf numFmtId="0" fontId="13" fillId="3" borderId="6" xfId="0" applyFont="1" applyFill="1" applyBorder="1" applyAlignment="1">
      <alignment horizontal="right" vertical="center" wrapText="1"/>
    </xf>
    <xf numFmtId="1" fontId="12" fillId="3" borderId="0" xfId="0" applyNumberFormat="1" applyFont="1" applyFill="1" applyAlignment="1">
      <alignment horizontal="left" vertical="center" wrapText="1"/>
    </xf>
    <xf numFmtId="0" fontId="13" fillId="3" borderId="0" xfId="0" applyFont="1" applyFill="1" applyAlignment="1">
      <alignment vertical="center" wrapText="1"/>
    </xf>
    <xf numFmtId="0" fontId="13" fillId="3" borderId="0" xfId="0" applyFont="1" applyFill="1" applyAlignment="1">
      <alignment horizontal="right" vertical="center" wrapText="1"/>
    </xf>
    <xf numFmtId="0" fontId="16" fillId="4" borderId="6" xfId="0" applyFont="1" applyFill="1" applyBorder="1" applyAlignment="1">
      <alignment vertical="center" wrapText="1"/>
    </xf>
    <xf numFmtId="0" fontId="16" fillId="11" borderId="6" xfId="0" applyFont="1" applyFill="1" applyBorder="1" applyAlignment="1">
      <alignment vertical="center" wrapText="1"/>
    </xf>
    <xf numFmtId="0" fontId="16" fillId="7" borderId="6" xfId="0" applyFont="1" applyFill="1" applyBorder="1" applyAlignment="1">
      <alignment vertical="center" wrapText="1"/>
    </xf>
    <xf numFmtId="0" fontId="16" fillId="3" borderId="0" xfId="0" applyFont="1" applyFill="1" applyAlignment="1">
      <alignment vertical="center" wrapText="1"/>
    </xf>
    <xf numFmtId="0" fontId="9" fillId="18" borderId="1" xfId="0" applyFont="1" applyFill="1" applyBorder="1" applyAlignment="1">
      <alignment horizontal="right"/>
    </xf>
    <xf numFmtId="0" fontId="12" fillId="17" borderId="6" xfId="0" applyFont="1" applyFill="1" applyBorder="1" applyAlignment="1">
      <alignment vertical="center" wrapText="1"/>
    </xf>
    <xf numFmtId="0" fontId="12" fillId="17" borderId="1" xfId="0" applyFont="1" applyFill="1" applyBorder="1" applyAlignment="1">
      <alignment vertical="center" wrapText="1"/>
    </xf>
    <xf numFmtId="0" fontId="9" fillId="18" borderId="1" xfId="0" applyFont="1" applyFill="1" applyBorder="1"/>
    <xf numFmtId="0" fontId="9" fillId="16" borderId="5" xfId="0" applyFont="1" applyFill="1" applyBorder="1" applyAlignment="1">
      <alignment horizontal="right" vertical="center" wrapText="1"/>
    </xf>
    <xf numFmtId="0" fontId="12" fillId="16" borderId="5" xfId="0" applyFont="1" applyFill="1" applyBorder="1" applyAlignment="1">
      <alignment horizontal="right" vertical="center" wrapText="1"/>
    </xf>
    <xf numFmtId="0" fontId="12" fillId="16" borderId="5" xfId="0" applyFont="1" applyFill="1" applyBorder="1" applyAlignment="1">
      <alignment horizontal="left" vertical="center" wrapText="1"/>
    </xf>
    <xf numFmtId="0" fontId="9" fillId="16" borderId="5" xfId="0" applyFont="1" applyFill="1" applyBorder="1" applyAlignment="1">
      <alignment horizontal="left" vertical="center" wrapText="1"/>
    </xf>
    <xf numFmtId="0" fontId="12" fillId="17" borderId="6" xfId="0" applyFont="1" applyFill="1" applyBorder="1" applyAlignment="1">
      <alignment horizontal="right" vertical="center" wrapText="1"/>
    </xf>
    <xf numFmtId="0" fontId="12" fillId="17" borderId="1" xfId="0" applyFont="1" applyFill="1" applyBorder="1" applyAlignment="1">
      <alignment horizontal="right" vertical="center" wrapText="1"/>
    </xf>
    <xf numFmtId="0" fontId="9" fillId="3" borderId="9" xfId="0" applyFont="1" applyFill="1" applyBorder="1" applyAlignment="1">
      <alignment horizontal="left" vertical="center" wrapText="1"/>
    </xf>
    <xf numFmtId="0" fontId="0" fillId="0" borderId="9" xfId="0" applyBorder="1"/>
    <xf numFmtId="0" fontId="9" fillId="0" borderId="0" xfId="0" applyFont="1"/>
    <xf numFmtId="0" fontId="10" fillId="5" borderId="3" xfId="0" applyFont="1" applyFill="1" applyBorder="1" applyAlignment="1">
      <alignment horizontal="left" wrapText="1"/>
    </xf>
    <xf numFmtId="0" fontId="10" fillId="5" borderId="1" xfId="0" applyFont="1" applyFill="1" applyBorder="1"/>
    <xf numFmtId="0" fontId="10" fillId="5" borderId="2" xfId="0" applyFont="1" applyFill="1" applyBorder="1"/>
    <xf numFmtId="0" fontId="10" fillId="5" borderId="11" xfId="0" applyFont="1" applyFill="1" applyBorder="1"/>
    <xf numFmtId="0" fontId="10" fillId="5" borderId="3" xfId="0" applyFont="1" applyFill="1" applyBorder="1"/>
    <xf numFmtId="0" fontId="10" fillId="5" borderId="10" xfId="0" applyFont="1" applyFill="1" applyBorder="1" applyAlignment="1">
      <alignment vertical="center" wrapText="1"/>
    </xf>
    <xf numFmtId="0" fontId="10" fillId="5" borderId="5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8" fillId="5" borderId="7" xfId="0" applyFont="1" applyFill="1" applyBorder="1"/>
    <xf numFmtId="49" fontId="8" fillId="5" borderId="7" xfId="0" applyNumberFormat="1" applyFont="1" applyFill="1" applyBorder="1"/>
    <xf numFmtId="0" fontId="8" fillId="5" borderId="12" xfId="0" applyFont="1" applyFill="1" applyBorder="1"/>
    <xf numFmtId="0" fontId="8" fillId="5" borderId="9" xfId="0" applyFont="1" applyFill="1" applyBorder="1"/>
    <xf numFmtId="0" fontId="22" fillId="14" borderId="3" xfId="0" applyFont="1" applyFill="1" applyBorder="1" applyAlignment="1">
      <alignment horizontal="left" wrapText="1"/>
    </xf>
    <xf numFmtId="0" fontId="22" fillId="14" borderId="1" xfId="0" applyFont="1" applyFill="1" applyBorder="1"/>
    <xf numFmtId="0" fontId="22" fillId="14" borderId="2" xfId="0" applyFont="1" applyFill="1" applyBorder="1"/>
    <xf numFmtId="0" fontId="22" fillId="14" borderId="11" xfId="0" applyFont="1" applyFill="1" applyBorder="1"/>
    <xf numFmtId="0" fontId="23" fillId="14" borderId="3" xfId="0" applyFont="1" applyFill="1" applyBorder="1"/>
    <xf numFmtId="0" fontId="22" fillId="14" borderId="10" xfId="0" applyFont="1" applyFill="1" applyBorder="1" applyAlignment="1">
      <alignment vertical="center" wrapText="1"/>
    </xf>
    <xf numFmtId="0" fontId="22" fillId="14" borderId="5" xfId="0" applyFont="1" applyFill="1" applyBorder="1" applyAlignment="1">
      <alignment vertical="center" wrapText="1"/>
    </xf>
    <xf numFmtId="0" fontId="22" fillId="14" borderId="1" xfId="0" applyFont="1" applyFill="1" applyBorder="1" applyAlignment="1">
      <alignment vertical="center" wrapText="1"/>
    </xf>
    <xf numFmtId="0" fontId="22" fillId="14" borderId="1" xfId="0" applyFont="1" applyFill="1" applyBorder="1" applyAlignment="1">
      <alignment horizontal="center" vertical="center" wrapText="1"/>
    </xf>
    <xf numFmtId="0" fontId="22" fillId="14" borderId="6" xfId="0" applyFont="1" applyFill="1" applyBorder="1" applyAlignment="1">
      <alignment horizontal="center" vertical="center" wrapText="1"/>
    </xf>
    <xf numFmtId="0" fontId="23" fillId="14" borderId="7" xfId="0" applyFont="1" applyFill="1" applyBorder="1"/>
    <xf numFmtId="49" fontId="23" fillId="14" borderId="7" xfId="0" applyNumberFormat="1" applyFont="1" applyFill="1" applyBorder="1"/>
    <xf numFmtId="0" fontId="23" fillId="14" borderId="8" xfId="0" applyFont="1" applyFill="1" applyBorder="1"/>
    <xf numFmtId="0" fontId="23" fillId="14" borderId="12" xfId="0" applyFont="1" applyFill="1" applyBorder="1"/>
    <xf numFmtId="0" fontId="23" fillId="14" borderId="9" xfId="0" applyFont="1" applyFill="1" applyBorder="1"/>
    <xf numFmtId="0" fontId="28" fillId="19" borderId="0" xfId="0" applyFont="1" applyFill="1"/>
    <xf numFmtId="0" fontId="29" fillId="19" borderId="0" xfId="0" applyFont="1" applyFill="1" applyAlignment="1">
      <alignment vertical="center"/>
    </xf>
    <xf numFmtId="0" fontId="30" fillId="19" borderId="0" xfId="0" applyFont="1" applyFill="1" applyAlignment="1">
      <alignment vertical="center"/>
    </xf>
    <xf numFmtId="14" fontId="29" fillId="19" borderId="0" xfId="0" applyNumberFormat="1" applyFont="1" applyFill="1" applyAlignment="1">
      <alignment vertical="center"/>
    </xf>
    <xf numFmtId="0" fontId="29" fillId="19" borderId="0" xfId="0" applyFont="1" applyFill="1" applyAlignment="1">
      <alignment horizontal="center" vertical="center"/>
    </xf>
    <xf numFmtId="0" fontId="29" fillId="19" borderId="0" xfId="0" applyFont="1" applyFill="1" applyAlignment="1">
      <alignment horizontal="right" vertical="center"/>
    </xf>
    <xf numFmtId="2" fontId="29" fillId="19" borderId="0" xfId="0" applyNumberFormat="1" applyFont="1" applyFill="1" applyAlignment="1">
      <alignment horizontal="center" vertical="center"/>
    </xf>
    <xf numFmtId="0" fontId="30" fillId="3" borderId="0" xfId="0" applyFont="1" applyFill="1" applyAlignment="1">
      <alignment vertical="center"/>
    </xf>
    <xf numFmtId="0" fontId="10" fillId="11" borderId="3" xfId="0" applyFont="1" applyFill="1" applyBorder="1" applyAlignment="1">
      <alignment horizontal="left" wrapText="1"/>
    </xf>
    <xf numFmtId="0" fontId="10" fillId="11" borderId="1" xfId="0" applyFont="1" applyFill="1" applyBorder="1"/>
    <xf numFmtId="0" fontId="10" fillId="11" borderId="2" xfId="0" applyFont="1" applyFill="1" applyBorder="1"/>
    <xf numFmtId="0" fontId="10" fillId="11" borderId="11" xfId="0" applyFont="1" applyFill="1" applyBorder="1"/>
    <xf numFmtId="0" fontId="10" fillId="11" borderId="3" xfId="0" applyFont="1" applyFill="1" applyBorder="1"/>
    <xf numFmtId="0" fontId="10" fillId="11" borderId="10" xfId="0" applyFont="1" applyFill="1" applyBorder="1" applyAlignment="1">
      <alignment vertical="center" wrapText="1"/>
    </xf>
    <xf numFmtId="0" fontId="10" fillId="11" borderId="5" xfId="0" applyFont="1" applyFill="1" applyBorder="1" applyAlignment="1">
      <alignment vertical="center" wrapText="1"/>
    </xf>
    <xf numFmtId="0" fontId="10" fillId="11" borderId="1" xfId="0" applyFont="1" applyFill="1" applyBorder="1" applyAlignment="1">
      <alignment vertical="center" wrapText="1"/>
    </xf>
    <xf numFmtId="0" fontId="10" fillId="11" borderId="1" xfId="0" applyFont="1" applyFill="1" applyBorder="1" applyAlignment="1">
      <alignment horizontal="center" vertical="center" wrapText="1"/>
    </xf>
    <xf numFmtId="0" fontId="10" fillId="11" borderId="6" xfId="0" applyFont="1" applyFill="1" applyBorder="1" applyAlignment="1">
      <alignment horizontal="center" vertical="center" wrapText="1"/>
    </xf>
    <xf numFmtId="0" fontId="8" fillId="11" borderId="7" xfId="0" applyFont="1" applyFill="1" applyBorder="1"/>
    <xf numFmtId="49" fontId="8" fillId="11" borderId="7" xfId="0" applyNumberFormat="1" applyFont="1" applyFill="1" applyBorder="1"/>
    <xf numFmtId="0" fontId="8" fillId="11" borderId="8" xfId="0" applyFont="1" applyFill="1" applyBorder="1"/>
    <xf numFmtId="0" fontId="8" fillId="11" borderId="12" xfId="0" applyFont="1" applyFill="1" applyBorder="1"/>
    <xf numFmtId="0" fontId="8" fillId="11" borderId="9" xfId="0" applyFont="1" applyFill="1" applyBorder="1"/>
    <xf numFmtId="0" fontId="28" fillId="3" borderId="0" xfId="0" applyFont="1" applyFill="1"/>
    <xf numFmtId="0" fontId="29" fillId="3" borderId="0" xfId="0" applyFont="1" applyFill="1" applyAlignment="1">
      <alignment horizontal="center" vertical="center"/>
    </xf>
    <xf numFmtId="0" fontId="29" fillId="3" borderId="0" xfId="0" applyFont="1" applyFill="1" applyAlignment="1">
      <alignment vertical="center"/>
    </xf>
    <xf numFmtId="0" fontId="29" fillId="3" borderId="0" xfId="0" applyFont="1" applyFill="1" applyAlignment="1">
      <alignment horizontal="right" vertical="center"/>
    </xf>
    <xf numFmtId="0" fontId="29" fillId="19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8" borderId="7" xfId="0" applyFont="1" applyFill="1" applyBorder="1" applyAlignment="1">
      <alignment horizontal="center"/>
    </xf>
    <xf numFmtId="0" fontId="9" fillId="8" borderId="5" xfId="0" applyFont="1" applyFill="1" applyBorder="1" applyAlignment="1">
      <alignment horizontal="center"/>
    </xf>
    <xf numFmtId="0" fontId="9" fillId="8" borderId="11" xfId="0" applyFont="1" applyFill="1" applyBorder="1" applyAlignment="1">
      <alignment horizontal="center"/>
    </xf>
    <xf numFmtId="0" fontId="9" fillId="8" borderId="14" xfId="0" applyFont="1" applyFill="1" applyBorder="1" applyAlignment="1">
      <alignment horizontal="center"/>
    </xf>
    <xf numFmtId="0" fontId="9" fillId="8" borderId="15" xfId="0" applyFont="1" applyFill="1" applyBorder="1" applyAlignment="1">
      <alignment horizontal="center"/>
    </xf>
    <xf numFmtId="0" fontId="9" fillId="8" borderId="6" xfId="0" applyFont="1" applyFill="1" applyBorder="1" applyAlignment="1">
      <alignment horizontal="center"/>
    </xf>
    <xf numFmtId="0" fontId="9" fillId="8" borderId="16" xfId="0" applyFont="1" applyFill="1" applyBorder="1" applyAlignment="1">
      <alignment horizontal="center"/>
    </xf>
    <xf numFmtId="0" fontId="0" fillId="0" borderId="17" xfId="0" applyBorder="1"/>
    <xf numFmtId="1" fontId="0" fillId="0" borderId="13" xfId="0" applyNumberFormat="1" applyBorder="1"/>
    <xf numFmtId="0" fontId="9" fillId="0" borderId="11" xfId="0" applyFont="1" applyBorder="1"/>
    <xf numFmtId="0" fontId="9" fillId="0" borderId="4" xfId="0" applyFont="1" applyBorder="1"/>
    <xf numFmtId="0" fontId="9" fillId="0" borderId="14" xfId="0" applyFont="1" applyBorder="1"/>
    <xf numFmtId="2" fontId="0" fillId="0" borderId="11" xfId="0" applyNumberFormat="1" applyBorder="1"/>
    <xf numFmtId="2" fontId="0" fillId="0" borderId="4" xfId="0" applyNumberFormat="1" applyBorder="1"/>
    <xf numFmtId="0" fontId="9" fillId="5" borderId="1" xfId="0" applyFont="1" applyFill="1" applyBorder="1"/>
    <xf numFmtId="0" fontId="21" fillId="14" borderId="6" xfId="0" applyFont="1" applyFill="1" applyBorder="1" applyAlignment="1">
      <alignment vertical="center" wrapText="1"/>
    </xf>
    <xf numFmtId="0" fontId="21" fillId="14" borderId="5" xfId="0" applyFont="1" applyFill="1" applyBorder="1" applyAlignment="1">
      <alignment vertical="center" wrapText="1"/>
    </xf>
    <xf numFmtId="0" fontId="10" fillId="11" borderId="6" xfId="0" applyFont="1" applyFill="1" applyBorder="1" applyAlignment="1">
      <alignment vertical="center" wrapText="1"/>
    </xf>
    <xf numFmtId="0" fontId="32" fillId="3" borderId="6" xfId="0" applyFont="1" applyFill="1" applyBorder="1" applyAlignment="1">
      <alignment vertical="center" wrapText="1"/>
    </xf>
    <xf numFmtId="0" fontId="32" fillId="3" borderId="5" xfId="0" applyFont="1" applyFill="1" applyBorder="1" applyAlignment="1">
      <alignment vertical="center" wrapText="1"/>
    </xf>
    <xf numFmtId="0" fontId="30" fillId="0" borderId="1" xfId="0" applyFont="1" applyBorder="1" applyAlignment="1">
      <alignment vertical="center" wrapText="1"/>
    </xf>
    <xf numFmtId="0" fontId="30" fillId="0" borderId="4" xfId="0" applyFont="1" applyBorder="1" applyAlignment="1">
      <alignment horizontal="center" vertical="center" wrapText="1"/>
    </xf>
    <xf numFmtId="0" fontId="9" fillId="20" borderId="5" xfId="0" applyFont="1" applyFill="1" applyBorder="1" applyAlignment="1">
      <alignment vertical="center" wrapText="1"/>
    </xf>
    <xf numFmtId="0" fontId="32" fillId="3" borderId="1" xfId="0" applyFont="1" applyFill="1" applyBorder="1" applyAlignment="1">
      <alignment vertical="center" wrapText="1"/>
    </xf>
    <xf numFmtId="0" fontId="21" fillId="14" borderId="1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vertical="center" wrapText="1"/>
    </xf>
    <xf numFmtId="0" fontId="29" fillId="3" borderId="0" xfId="0" applyFont="1" applyFill="1" applyAlignment="1">
      <alignment horizontal="left" vertical="center"/>
    </xf>
    <xf numFmtId="15" fontId="0" fillId="0" borderId="0" xfId="0" applyNumberFormat="1"/>
    <xf numFmtId="0" fontId="33" fillId="11" borderId="3" xfId="0" applyFont="1" applyFill="1" applyBorder="1" applyAlignment="1">
      <alignment horizontal="left" wrapText="1"/>
    </xf>
    <xf numFmtId="0" fontId="33" fillId="11" borderId="1" xfId="0" applyFont="1" applyFill="1" applyBorder="1"/>
    <xf numFmtId="0" fontId="33" fillId="11" borderId="2" xfId="0" applyFont="1" applyFill="1" applyBorder="1"/>
    <xf numFmtId="0" fontId="33" fillId="11" borderId="11" xfId="0" applyFont="1" applyFill="1" applyBorder="1"/>
    <xf numFmtId="0" fontId="33" fillId="11" borderId="3" xfId="0" applyFont="1" applyFill="1" applyBorder="1"/>
    <xf numFmtId="0" fontId="33" fillId="11" borderId="10" xfId="0" applyFont="1" applyFill="1" applyBorder="1" applyAlignment="1">
      <alignment vertical="center" wrapText="1"/>
    </xf>
    <xf numFmtId="0" fontId="33" fillId="11" borderId="5" xfId="0" applyFont="1" applyFill="1" applyBorder="1" applyAlignment="1">
      <alignment vertical="center" wrapText="1"/>
    </xf>
    <xf numFmtId="0" fontId="33" fillId="11" borderId="1" xfId="0" applyFont="1" applyFill="1" applyBorder="1" applyAlignment="1">
      <alignment vertical="center" wrapText="1"/>
    </xf>
    <xf numFmtId="0" fontId="33" fillId="11" borderId="1" xfId="0" applyFont="1" applyFill="1" applyBorder="1" applyAlignment="1">
      <alignment horizontal="center" vertical="center" wrapText="1"/>
    </xf>
    <xf numFmtId="0" fontId="33" fillId="11" borderId="6" xfId="0" applyFont="1" applyFill="1" applyBorder="1" applyAlignment="1">
      <alignment horizontal="center" vertical="center" wrapText="1"/>
    </xf>
    <xf numFmtId="0" fontId="34" fillId="11" borderId="7" xfId="0" applyFont="1" applyFill="1" applyBorder="1"/>
    <xf numFmtId="49" fontId="34" fillId="11" borderId="7" xfId="0" applyNumberFormat="1" applyFont="1" applyFill="1" applyBorder="1"/>
    <xf numFmtId="0" fontId="34" fillId="11" borderId="8" xfId="0" applyFont="1" applyFill="1" applyBorder="1"/>
    <xf numFmtId="0" fontId="34" fillId="11" borderId="1" xfId="0" applyFont="1" applyFill="1" applyBorder="1"/>
    <xf numFmtId="0" fontId="34" fillId="11" borderId="9" xfId="0" applyFont="1" applyFill="1" applyBorder="1"/>
    <xf numFmtId="0" fontId="35" fillId="3" borderId="0" xfId="0" applyFont="1" applyFill="1"/>
    <xf numFmtId="0" fontId="35" fillId="6" borderId="1" xfId="0" applyFont="1" applyFill="1" applyBorder="1" applyAlignment="1">
      <alignment horizontal="center" vertical="center" wrapText="1"/>
    </xf>
    <xf numFmtId="0" fontId="35" fillId="23" borderId="1" xfId="0" applyFont="1" applyFill="1" applyBorder="1" applyAlignment="1">
      <alignment horizontal="center" vertical="center" wrapText="1"/>
    </xf>
    <xf numFmtId="0" fontId="35" fillId="21" borderId="1" xfId="0" applyFont="1" applyFill="1" applyBorder="1" applyAlignment="1">
      <alignment horizontal="center" vertical="center" wrapText="1"/>
    </xf>
    <xf numFmtId="16" fontId="12" fillId="3" borderId="0" xfId="0" applyNumberFormat="1" applyFont="1" applyFill="1" applyAlignment="1">
      <alignment horizontal="left" vertical="center" wrapText="1"/>
    </xf>
    <xf numFmtId="0" fontId="12" fillId="3" borderId="0" xfId="0" applyFont="1" applyFill="1" applyAlignment="1">
      <alignment horizontal="left" vertical="center" wrapText="1"/>
    </xf>
    <xf numFmtId="0" fontId="37" fillId="0" borderId="0" xfId="0" applyFont="1"/>
    <xf numFmtId="0" fontId="36" fillId="3" borderId="0" xfId="0" applyFont="1" applyFill="1"/>
    <xf numFmtId="0" fontId="39" fillId="0" borderId="0" xfId="0" applyFont="1"/>
    <xf numFmtId="0" fontId="38" fillId="3" borderId="0" xfId="0" applyFont="1" applyFill="1"/>
    <xf numFmtId="0" fontId="38" fillId="6" borderId="4" xfId="0" applyFont="1" applyFill="1" applyBorder="1" applyAlignment="1">
      <alignment horizontal="center" vertical="center" wrapText="1"/>
    </xf>
    <xf numFmtId="0" fontId="38" fillId="23" borderId="4" xfId="0" applyFont="1" applyFill="1" applyBorder="1" applyAlignment="1">
      <alignment horizontal="center" vertical="center" wrapText="1"/>
    </xf>
    <xf numFmtId="0" fontId="38" fillId="21" borderId="4" xfId="0" applyFont="1" applyFill="1" applyBorder="1" applyAlignment="1">
      <alignment horizontal="center" vertical="center" wrapText="1"/>
    </xf>
    <xf numFmtId="0" fontId="32" fillId="3" borderId="0" xfId="0" applyFont="1" applyFill="1"/>
    <xf numFmtId="0" fontId="42" fillId="0" borderId="0" xfId="0" applyFont="1"/>
    <xf numFmtId="0" fontId="41" fillId="3" borderId="0" xfId="0" applyFont="1" applyFill="1"/>
    <xf numFmtId="0" fontId="41" fillId="6" borderId="4" xfId="0" applyFont="1" applyFill="1" applyBorder="1" applyAlignment="1">
      <alignment horizontal="center" vertical="center" wrapText="1"/>
    </xf>
    <xf numFmtId="0" fontId="41" fillId="23" borderId="4" xfId="0" applyFont="1" applyFill="1" applyBorder="1" applyAlignment="1">
      <alignment horizontal="center" vertical="center" wrapText="1"/>
    </xf>
    <xf numFmtId="0" fontId="41" fillId="21" borderId="4" xfId="0" applyFont="1" applyFill="1" applyBorder="1" applyAlignment="1">
      <alignment horizontal="center" vertical="center" wrapText="1"/>
    </xf>
    <xf numFmtId="49" fontId="13" fillId="13" borderId="7" xfId="0" applyNumberFormat="1" applyFont="1" applyFill="1" applyBorder="1" applyAlignment="1">
      <alignment horizontal="center"/>
    </xf>
    <xf numFmtId="0" fontId="43" fillId="5" borderId="8" xfId="0" applyFont="1" applyFill="1" applyBorder="1"/>
    <xf numFmtId="1" fontId="0" fillId="0" borderId="0" xfId="0" applyNumberFormat="1"/>
    <xf numFmtId="0" fontId="0" fillId="0" borderId="0" xfId="0" applyAlignment="1">
      <alignment horizontal="right"/>
    </xf>
    <xf numFmtId="49" fontId="29" fillId="19" borderId="0" xfId="0" applyNumberFormat="1" applyFont="1" applyFill="1" applyAlignment="1">
      <alignment vertical="center"/>
    </xf>
    <xf numFmtId="49" fontId="0" fillId="0" borderId="0" xfId="0" applyNumberFormat="1"/>
    <xf numFmtId="49" fontId="29" fillId="3" borderId="0" xfId="0" applyNumberFormat="1" applyFont="1" applyFill="1" applyAlignment="1">
      <alignment vertical="center"/>
    </xf>
    <xf numFmtId="0" fontId="26" fillId="6" borderId="1" xfId="0" applyFont="1" applyFill="1" applyBorder="1" applyAlignment="1">
      <alignment horizontal="right"/>
    </xf>
    <xf numFmtId="0" fontId="16" fillId="12" borderId="1" xfId="0" applyFont="1" applyFill="1" applyBorder="1" applyAlignment="1">
      <alignment horizontal="right"/>
    </xf>
    <xf numFmtId="0" fontId="16" fillId="13" borderId="1" xfId="0" applyFont="1" applyFill="1" applyBorder="1" applyAlignment="1">
      <alignment horizontal="right"/>
    </xf>
    <xf numFmtId="0" fontId="18" fillId="9" borderId="1" xfId="0" applyFont="1" applyFill="1" applyBorder="1" applyAlignment="1">
      <alignment horizontal="right"/>
    </xf>
    <xf numFmtId="0" fontId="9" fillId="3" borderId="1" xfId="0" applyFont="1" applyFill="1" applyBorder="1" applyAlignment="1">
      <alignment horizontal="right"/>
    </xf>
    <xf numFmtId="0" fontId="12" fillId="3" borderId="1" xfId="0" applyFont="1" applyFill="1" applyBorder="1" applyAlignment="1">
      <alignment horizontal="right"/>
    </xf>
    <xf numFmtId="0" fontId="16" fillId="7" borderId="1" xfId="0" applyFont="1" applyFill="1" applyBorder="1" applyAlignment="1">
      <alignment horizontal="right"/>
    </xf>
    <xf numFmtId="0" fontId="0" fillId="0" borderId="0" xfId="0" applyAlignment="1">
      <alignment horizontal="left"/>
    </xf>
    <xf numFmtId="1" fontId="7" fillId="0" borderId="0" xfId="0" applyNumberFormat="1" applyFont="1"/>
    <xf numFmtId="0" fontId="10" fillId="11" borderId="1" xfId="0" applyFont="1" applyFill="1" applyBorder="1" applyAlignment="1">
      <alignment horizontal="right"/>
    </xf>
    <xf numFmtId="0" fontId="16" fillId="4" borderId="1" xfId="0" applyFont="1" applyFill="1" applyBorder="1" applyAlignment="1">
      <alignment horizontal="right"/>
    </xf>
    <xf numFmtId="0" fontId="16" fillId="11" borderId="1" xfId="0" applyFont="1" applyFill="1" applyBorder="1" applyAlignment="1">
      <alignment horizontal="right"/>
    </xf>
    <xf numFmtId="0" fontId="9" fillId="16" borderId="5" xfId="0" applyFont="1" applyFill="1" applyBorder="1"/>
    <xf numFmtId="0" fontId="30" fillId="20" borderId="6" xfId="0" applyFont="1" applyFill="1" applyBorder="1" applyAlignment="1">
      <alignment vertical="center" wrapText="1"/>
    </xf>
    <xf numFmtId="0" fontId="44" fillId="4" borderId="3" xfId="0" applyFont="1" applyFill="1" applyBorder="1" applyAlignment="1">
      <alignment horizontal="left" wrapText="1"/>
    </xf>
    <xf numFmtId="0" fontId="44" fillId="4" borderId="1" xfId="0" applyFont="1" applyFill="1" applyBorder="1"/>
    <xf numFmtId="0" fontId="44" fillId="4" borderId="2" xfId="0" applyFont="1" applyFill="1" applyBorder="1"/>
    <xf numFmtId="0" fontId="44" fillId="4" borderId="11" xfId="0" applyFont="1" applyFill="1" applyBorder="1"/>
    <xf numFmtId="0" fontId="44" fillId="4" borderId="3" xfId="0" applyFont="1" applyFill="1" applyBorder="1"/>
    <xf numFmtId="0" fontId="44" fillId="4" borderId="0" xfId="0" applyFont="1" applyFill="1"/>
    <xf numFmtId="0" fontId="44" fillId="4" borderId="10" xfId="0" applyFont="1" applyFill="1" applyBorder="1" applyAlignment="1">
      <alignment vertical="center" wrapText="1"/>
    </xf>
    <xf numFmtId="0" fontId="44" fillId="4" borderId="5" xfId="0" applyFont="1" applyFill="1" applyBorder="1" applyAlignment="1">
      <alignment vertical="center" wrapText="1"/>
    </xf>
    <xf numFmtId="0" fontId="44" fillId="4" borderId="1" xfId="0" applyFont="1" applyFill="1" applyBorder="1" applyAlignment="1">
      <alignment vertical="center" wrapText="1"/>
    </xf>
    <xf numFmtId="0" fontId="44" fillId="4" borderId="1" xfId="0" applyFont="1" applyFill="1" applyBorder="1" applyAlignment="1">
      <alignment horizontal="center" vertical="center" wrapText="1"/>
    </xf>
    <xf numFmtId="0" fontId="44" fillId="4" borderId="6" xfId="0" applyFont="1" applyFill="1" applyBorder="1" applyAlignment="1">
      <alignment horizontal="center" vertical="center" wrapText="1"/>
    </xf>
    <xf numFmtId="0" fontId="45" fillId="4" borderId="7" xfId="0" applyFont="1" applyFill="1" applyBorder="1"/>
    <xf numFmtId="49" fontId="45" fillId="4" borderId="7" xfId="0" applyNumberFormat="1" applyFont="1" applyFill="1" applyBorder="1"/>
    <xf numFmtId="0" fontId="45" fillId="4" borderId="8" xfId="0" applyFont="1" applyFill="1" applyBorder="1"/>
    <xf numFmtId="0" fontId="45" fillId="4" borderId="1" xfId="0" applyFont="1" applyFill="1" applyBorder="1"/>
    <xf numFmtId="0" fontId="20" fillId="2" borderId="1" xfId="0" applyFont="1" applyFill="1" applyBorder="1" applyAlignment="1">
      <alignment horizontal="center"/>
    </xf>
    <xf numFmtId="0" fontId="12" fillId="13" borderId="1" xfId="0" applyFont="1" applyFill="1" applyBorder="1" applyAlignment="1">
      <alignment horizontal="center"/>
    </xf>
    <xf numFmtId="0" fontId="12" fillId="13" borderId="2" xfId="0" applyFont="1" applyFill="1" applyBorder="1" applyAlignment="1">
      <alignment horizontal="center"/>
    </xf>
    <xf numFmtId="0" fontId="12" fillId="13" borderId="11" xfId="0" applyFont="1" applyFill="1" applyBorder="1" applyAlignment="1">
      <alignment horizontal="center"/>
    </xf>
    <xf numFmtId="0" fontId="12" fillId="13" borderId="3" xfId="0" applyFont="1" applyFill="1" applyBorder="1" applyAlignment="1">
      <alignment horizontal="center"/>
    </xf>
    <xf numFmtId="0" fontId="9" fillId="3" borderId="0" xfId="0" applyFont="1" applyFill="1"/>
    <xf numFmtId="0" fontId="9" fillId="15" borderId="0" xfId="0" applyFont="1" applyFill="1"/>
    <xf numFmtId="0" fontId="9" fillId="24" borderId="0" xfId="0" applyFont="1" applyFill="1"/>
    <xf numFmtId="0" fontId="9" fillId="24" borderId="0" xfId="0" applyFont="1" applyFill="1" applyAlignment="1">
      <alignment horizontal="right"/>
    </xf>
    <xf numFmtId="0" fontId="0" fillId="24" borderId="0" xfId="0" applyFill="1"/>
    <xf numFmtId="0" fontId="32" fillId="3" borderId="1" xfId="0" applyFont="1" applyFill="1" applyBorder="1"/>
    <xf numFmtId="0" fontId="9" fillId="2" borderId="0" xfId="0" applyFont="1" applyFill="1"/>
    <xf numFmtId="0" fontId="0" fillId="2" borderId="0" xfId="0" applyFill="1"/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right" vertical="center"/>
    </xf>
    <xf numFmtId="0" fontId="13" fillId="2" borderId="0" xfId="0" applyFont="1" applyFill="1"/>
    <xf numFmtId="0" fontId="13" fillId="2" borderId="0" xfId="0" applyFont="1" applyFill="1" applyAlignment="1">
      <alignment vertical="center"/>
    </xf>
    <xf numFmtId="10" fontId="13" fillId="2" borderId="0" xfId="0" applyNumberFormat="1" applyFont="1" applyFill="1" applyAlignment="1">
      <alignment vertical="center"/>
    </xf>
    <xf numFmtId="0" fontId="9" fillId="24" borderId="0" xfId="0" applyFont="1" applyFill="1" applyAlignment="1">
      <alignment horizontal="center" vertical="center"/>
    </xf>
    <xf numFmtId="0" fontId="9" fillId="24" borderId="0" xfId="0" applyFont="1" applyFill="1" applyAlignment="1">
      <alignment horizontal="right" vertical="center"/>
    </xf>
    <xf numFmtId="0" fontId="13" fillId="24" borderId="0" xfId="0" applyFont="1" applyFill="1"/>
    <xf numFmtId="0" fontId="13" fillId="24" borderId="0" xfId="0" applyFont="1" applyFill="1" applyAlignment="1">
      <alignment vertical="center"/>
    </xf>
    <xf numFmtId="10" fontId="13" fillId="24" borderId="0" xfId="0" applyNumberFormat="1" applyFont="1" applyFill="1" applyAlignment="1">
      <alignment vertical="center"/>
    </xf>
    <xf numFmtId="0" fontId="12" fillId="24" borderId="0" xfId="0" applyFont="1" applyFill="1"/>
    <xf numFmtId="1" fontId="9" fillId="24" borderId="0" xfId="0" applyNumberFormat="1" applyFont="1" applyFill="1"/>
    <xf numFmtId="0" fontId="9" fillId="0" borderId="1" xfId="0" applyFont="1" applyBorder="1" applyAlignment="1">
      <alignment vertical="center" wrapText="1"/>
    </xf>
    <xf numFmtId="0" fontId="31" fillId="0" borderId="4" xfId="0" applyFont="1" applyBorder="1" applyAlignment="1">
      <alignment horizontal="right" vertical="center" wrapText="1"/>
    </xf>
    <xf numFmtId="0" fontId="9" fillId="0" borderId="5" xfId="0" applyFont="1" applyBorder="1" applyAlignment="1">
      <alignment vertical="center" wrapText="1"/>
    </xf>
    <xf numFmtId="0" fontId="31" fillId="0" borderId="6" xfId="0" applyFont="1" applyBorder="1" applyAlignment="1">
      <alignment horizontal="right" vertical="center" wrapText="1"/>
    </xf>
    <xf numFmtId="0" fontId="16" fillId="13" borderId="0" xfId="0" applyFont="1" applyFill="1"/>
    <xf numFmtId="0" fontId="18" fillId="8" borderId="0" xfId="0" applyFont="1" applyFill="1"/>
    <xf numFmtId="0" fontId="10" fillId="25" borderId="0" xfId="0" applyFont="1" applyFill="1"/>
    <xf numFmtId="0" fontId="32" fillId="3" borderId="10" xfId="0" applyFont="1" applyFill="1" applyBorder="1" applyAlignment="1">
      <alignment vertical="center" wrapText="1"/>
    </xf>
    <xf numFmtId="0" fontId="32" fillId="3" borderId="1" xfId="0" applyFont="1" applyFill="1" applyBorder="1" applyAlignment="1">
      <alignment horizontal="center" vertical="center" wrapText="1"/>
    </xf>
    <xf numFmtId="0" fontId="32" fillId="3" borderId="6" xfId="0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right"/>
    </xf>
    <xf numFmtId="0" fontId="40" fillId="3" borderId="0" xfId="0" applyFont="1" applyFill="1"/>
    <xf numFmtId="0" fontId="32" fillId="3" borderId="1" xfId="0" applyFont="1" applyFill="1" applyBorder="1" applyAlignment="1">
      <alignment horizontal="center"/>
    </xf>
    <xf numFmtId="0" fontId="10" fillId="10" borderId="1" xfId="0" applyFont="1" applyFill="1" applyBorder="1" applyAlignment="1">
      <alignment horizontal="center"/>
    </xf>
    <xf numFmtId="0" fontId="18" fillId="9" borderId="1" xfId="0" applyFont="1" applyFill="1" applyBorder="1" applyAlignment="1">
      <alignment horizontal="center"/>
    </xf>
    <xf numFmtId="0" fontId="16" fillId="13" borderId="1" xfId="0" applyFont="1" applyFill="1" applyBorder="1" applyAlignment="1">
      <alignment horizontal="center"/>
    </xf>
    <xf numFmtId="0" fontId="10" fillId="11" borderId="0" xfId="0" applyFont="1" applyFill="1"/>
    <xf numFmtId="0" fontId="16" fillId="7" borderId="0" xfId="0" applyFont="1" applyFill="1"/>
    <xf numFmtId="0" fontId="12" fillId="13" borderId="0" xfId="0" applyFont="1" applyFill="1"/>
    <xf numFmtId="0" fontId="10" fillId="5" borderId="0" xfId="0" applyFont="1" applyFill="1"/>
    <xf numFmtId="0" fontId="6" fillId="0" borderId="0" xfId="0" applyFont="1"/>
    <xf numFmtId="0" fontId="13" fillId="0" borderId="0" xfId="0" applyFont="1"/>
    <xf numFmtId="0" fontId="44" fillId="11" borderId="0" xfId="0" applyFont="1" applyFill="1"/>
    <xf numFmtId="0" fontId="26" fillId="6" borderId="0" xfId="0" applyFont="1" applyFill="1"/>
    <xf numFmtId="0" fontId="36" fillId="6" borderId="1" xfId="0" applyFont="1" applyFill="1" applyBorder="1" applyAlignment="1">
      <alignment horizontal="center" vertical="center" wrapText="1"/>
    </xf>
    <xf numFmtId="0" fontId="36" fillId="23" borderId="1" xfId="0" applyFont="1" applyFill="1" applyBorder="1" applyAlignment="1">
      <alignment horizontal="center" vertical="center" wrapText="1"/>
    </xf>
    <xf numFmtId="0" fontId="36" fillId="21" borderId="1" xfId="0" applyFont="1" applyFill="1" applyBorder="1" applyAlignment="1">
      <alignment horizontal="center" vertical="center" wrapText="1"/>
    </xf>
    <xf numFmtId="0" fontId="22" fillId="14" borderId="0" xfId="0" applyFont="1" applyFill="1"/>
    <xf numFmtId="0" fontId="16" fillId="11" borderId="0" xfId="0" applyFont="1" applyFill="1"/>
    <xf numFmtId="0" fontId="16" fillId="12" borderId="0" xfId="0" applyFont="1" applyFill="1"/>
    <xf numFmtId="0" fontId="16" fillId="4" borderId="0" xfId="0" applyFont="1" applyFill="1"/>
    <xf numFmtId="0" fontId="5" fillId="0" borderId="0" xfId="0" applyFont="1"/>
    <xf numFmtId="0" fontId="21" fillId="4" borderId="0" xfId="0" applyFont="1" applyFill="1"/>
    <xf numFmtId="0" fontId="17" fillId="0" borderId="0" xfId="0" applyFont="1"/>
    <xf numFmtId="0" fontId="16" fillId="6" borderId="4" xfId="0" applyFont="1" applyFill="1" applyBorder="1" applyAlignment="1">
      <alignment horizontal="center" vertical="center" wrapText="1"/>
    </xf>
    <xf numFmtId="0" fontId="16" fillId="23" borderId="4" xfId="0" applyFont="1" applyFill="1" applyBorder="1" applyAlignment="1">
      <alignment horizontal="center" vertical="center" wrapText="1"/>
    </xf>
    <xf numFmtId="0" fontId="16" fillId="21" borderId="4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right"/>
    </xf>
    <xf numFmtId="0" fontId="21" fillId="4" borderId="1" xfId="0" applyFont="1" applyFill="1" applyBorder="1" applyAlignment="1">
      <alignment horizontal="right"/>
    </xf>
    <xf numFmtId="0" fontId="22" fillId="14" borderId="1" xfId="0" applyFont="1" applyFill="1" applyBorder="1" applyAlignment="1">
      <alignment horizontal="right"/>
    </xf>
    <xf numFmtId="0" fontId="9" fillId="3" borderId="1" xfId="0" applyFont="1" applyFill="1" applyBorder="1" applyAlignment="1">
      <alignment horizontal="center"/>
    </xf>
    <xf numFmtId="0" fontId="10" fillId="11" borderId="1" xfId="0" applyFont="1" applyFill="1" applyBorder="1" applyAlignment="1">
      <alignment horizontal="center"/>
    </xf>
    <xf numFmtId="0" fontId="16" fillId="7" borderId="1" xfId="0" applyFont="1" applyFill="1" applyBorder="1" applyAlignment="1">
      <alignment horizontal="center"/>
    </xf>
    <xf numFmtId="0" fontId="24" fillId="6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33" fillId="11" borderId="1" xfId="0" applyFont="1" applyFill="1" applyBorder="1" applyAlignment="1">
      <alignment horizontal="right"/>
    </xf>
    <xf numFmtId="0" fontId="16" fillId="4" borderId="1" xfId="0" applyFont="1" applyFill="1" applyBorder="1" applyAlignment="1">
      <alignment horizontal="center"/>
    </xf>
    <xf numFmtId="0" fontId="16" fillId="12" borderId="1" xfId="0" applyFont="1" applyFill="1" applyBorder="1" applyAlignment="1">
      <alignment horizontal="center"/>
    </xf>
    <xf numFmtId="0" fontId="44" fillId="4" borderId="1" xfId="0" applyFont="1" applyFill="1" applyBorder="1" applyAlignment="1">
      <alignment horizontal="right"/>
    </xf>
    <xf numFmtId="14" fontId="29" fillId="3" borderId="0" xfId="0" applyNumberFormat="1" applyFont="1" applyFill="1" applyAlignment="1">
      <alignment vertical="center"/>
    </xf>
    <xf numFmtId="2" fontId="29" fillId="3" borderId="0" xfId="0" applyNumberFormat="1" applyFont="1" applyFill="1" applyAlignment="1">
      <alignment horizontal="center" vertical="center"/>
    </xf>
    <xf numFmtId="0" fontId="16" fillId="11" borderId="1" xfId="0" applyFont="1" applyFill="1" applyBorder="1" applyAlignment="1">
      <alignment horizontal="center"/>
    </xf>
    <xf numFmtId="0" fontId="16" fillId="6" borderId="0" xfId="0" applyFont="1" applyFill="1"/>
    <xf numFmtId="0" fontId="17" fillId="6" borderId="0" xfId="0" applyFont="1" applyFill="1"/>
    <xf numFmtId="0" fontId="16" fillId="6" borderId="0" xfId="0" applyFont="1" applyFill="1" applyAlignment="1">
      <alignment horizontal="center" vertical="center"/>
    </xf>
    <xf numFmtId="0" fontId="16" fillId="6" borderId="0" xfId="0" applyFont="1" applyFill="1" applyAlignment="1">
      <alignment horizontal="right" vertical="center"/>
    </xf>
    <xf numFmtId="0" fontId="17" fillId="6" borderId="0" xfId="0" applyFont="1" applyFill="1" applyAlignment="1">
      <alignment vertical="center"/>
    </xf>
    <xf numFmtId="10" fontId="17" fillId="6" borderId="0" xfId="0" applyNumberFormat="1" applyFont="1" applyFill="1" applyAlignment="1">
      <alignment vertical="center"/>
    </xf>
    <xf numFmtId="0" fontId="44" fillId="4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right"/>
    </xf>
    <xf numFmtId="0" fontId="41" fillId="21" borderId="1" xfId="0" applyFont="1" applyFill="1" applyBorder="1"/>
    <xf numFmtId="0" fontId="16" fillId="21" borderId="1" xfId="0" applyFont="1" applyFill="1" applyBorder="1"/>
    <xf numFmtId="0" fontId="41" fillId="21" borderId="1" xfId="0" applyFont="1" applyFill="1" applyBorder="1" applyAlignment="1">
      <alignment horizontal="center" vertical="center" wrapText="1"/>
    </xf>
    <xf numFmtId="0" fontId="16" fillId="21" borderId="1" xfId="0" applyFont="1" applyFill="1" applyBorder="1" applyAlignment="1">
      <alignment horizontal="center" vertical="center" wrapText="1"/>
    </xf>
    <xf numFmtId="0" fontId="38" fillId="21" borderId="1" xfId="0" applyFont="1" applyFill="1" applyBorder="1"/>
    <xf numFmtId="0" fontId="36" fillId="21" borderId="1" xfId="0" applyFont="1" applyFill="1" applyBorder="1"/>
    <xf numFmtId="0" fontId="35" fillId="21" borderId="1" xfId="0" applyFont="1" applyFill="1" applyBorder="1"/>
    <xf numFmtId="0" fontId="35" fillId="21" borderId="5" xfId="0" applyFont="1" applyFill="1" applyBorder="1"/>
    <xf numFmtId="0" fontId="36" fillId="21" borderId="5" xfId="0" applyFont="1" applyFill="1" applyBorder="1" applyAlignment="1">
      <alignment horizontal="center" vertical="center" wrapText="1"/>
    </xf>
    <xf numFmtId="0" fontId="4" fillId="0" borderId="0" xfId="0" applyFont="1"/>
    <xf numFmtId="0" fontId="9" fillId="20" borderId="5" xfId="0" applyFont="1" applyFill="1" applyBorder="1" applyAlignment="1">
      <alignment horizontal="right" vertical="center" wrapText="1"/>
    </xf>
    <xf numFmtId="0" fontId="16" fillId="26" borderId="1" xfId="0" applyFont="1" applyFill="1" applyBorder="1" applyAlignment="1">
      <alignment vertical="center" wrapText="1"/>
    </xf>
    <xf numFmtId="0" fontId="16" fillId="26" borderId="3" xfId="0" applyFont="1" applyFill="1" applyBorder="1" applyAlignment="1">
      <alignment horizontal="left" wrapText="1"/>
    </xf>
    <xf numFmtId="0" fontId="16" fillId="26" borderId="1" xfId="0" applyFont="1" applyFill="1" applyBorder="1" applyAlignment="1">
      <alignment horizontal="center"/>
    </xf>
    <xf numFmtId="0" fontId="16" fillId="26" borderId="2" xfId="0" applyFont="1" applyFill="1" applyBorder="1"/>
    <xf numFmtId="0" fontId="16" fillId="26" borderId="1" xfId="0" applyFont="1" applyFill="1" applyBorder="1"/>
    <xf numFmtId="0" fontId="16" fillId="26" borderId="11" xfId="0" applyFont="1" applyFill="1" applyBorder="1"/>
    <xf numFmtId="0" fontId="16" fillId="26" borderId="3" xfId="0" applyFont="1" applyFill="1" applyBorder="1"/>
    <xf numFmtId="0" fontId="16" fillId="26" borderId="10" xfId="0" applyFont="1" applyFill="1" applyBorder="1" applyAlignment="1">
      <alignment vertical="center" wrapText="1"/>
    </xf>
    <xf numFmtId="0" fontId="16" fillId="26" borderId="5" xfId="0" applyFont="1" applyFill="1" applyBorder="1" applyAlignment="1">
      <alignment vertical="center" wrapText="1"/>
    </xf>
    <xf numFmtId="0" fontId="16" fillId="26" borderId="1" xfId="0" applyFont="1" applyFill="1" applyBorder="1" applyAlignment="1">
      <alignment horizontal="center" vertical="center" wrapText="1"/>
    </xf>
    <xf numFmtId="0" fontId="16" fillId="26" borderId="6" xfId="0" applyFont="1" applyFill="1" applyBorder="1" applyAlignment="1">
      <alignment horizontal="center" vertical="center" wrapText="1"/>
    </xf>
    <xf numFmtId="0" fontId="17" fillId="26" borderId="7" xfId="0" applyFont="1" applyFill="1" applyBorder="1"/>
    <xf numFmtId="49" fontId="17" fillId="26" borderId="7" xfId="0" applyNumberFormat="1" applyFont="1" applyFill="1" applyBorder="1"/>
    <xf numFmtId="0" fontId="17" fillId="26" borderId="8" xfId="0" applyFont="1" applyFill="1" applyBorder="1"/>
    <xf numFmtId="0" fontId="17" fillId="26" borderId="12" xfId="0" applyFont="1" applyFill="1" applyBorder="1"/>
    <xf numFmtId="0" fontId="17" fillId="26" borderId="9" xfId="0" applyFont="1" applyFill="1" applyBorder="1"/>
    <xf numFmtId="0" fontId="16" fillId="26" borderId="1" xfId="0" applyFont="1" applyFill="1" applyBorder="1" applyAlignment="1">
      <alignment horizontal="right"/>
    </xf>
    <xf numFmtId="0" fontId="16" fillId="26" borderId="0" xfId="0" applyFont="1" applyFill="1"/>
    <xf numFmtId="0" fontId="16" fillId="14" borderId="3" xfId="0" applyFont="1" applyFill="1" applyBorder="1" applyAlignment="1">
      <alignment horizontal="left" wrapText="1"/>
    </xf>
    <xf numFmtId="0" fontId="16" fillId="14" borderId="1" xfId="0" applyFont="1" applyFill="1" applyBorder="1" applyAlignment="1">
      <alignment horizontal="center"/>
    </xf>
    <xf numFmtId="0" fontId="16" fillId="14" borderId="2" xfId="0" applyFont="1" applyFill="1" applyBorder="1"/>
    <xf numFmtId="0" fontId="16" fillId="14" borderId="1" xfId="0" applyFont="1" applyFill="1" applyBorder="1"/>
    <xf numFmtId="0" fontId="16" fillId="14" borderId="11" xfId="0" applyFont="1" applyFill="1" applyBorder="1"/>
    <xf numFmtId="0" fontId="16" fillId="14" borderId="3" xfId="0" applyFont="1" applyFill="1" applyBorder="1"/>
    <xf numFmtId="0" fontId="16" fillId="14" borderId="10" xfId="0" applyFont="1" applyFill="1" applyBorder="1" applyAlignment="1">
      <alignment vertical="center" wrapText="1"/>
    </xf>
    <xf numFmtId="0" fontId="16" fillId="14" borderId="5" xfId="0" applyFont="1" applyFill="1" applyBorder="1" applyAlignment="1">
      <alignment vertical="center" wrapText="1"/>
    </xf>
    <xf numFmtId="0" fontId="16" fillId="14" borderId="1" xfId="0" applyFont="1" applyFill="1" applyBorder="1" applyAlignment="1">
      <alignment vertical="center" wrapText="1"/>
    </xf>
    <xf numFmtId="0" fontId="16" fillId="14" borderId="1" xfId="0" applyFont="1" applyFill="1" applyBorder="1" applyAlignment="1">
      <alignment horizontal="center" vertical="center" wrapText="1"/>
    </xf>
    <xf numFmtId="0" fontId="16" fillId="14" borderId="6" xfId="0" applyFont="1" applyFill="1" applyBorder="1" applyAlignment="1">
      <alignment horizontal="center" vertical="center" wrapText="1"/>
    </xf>
    <xf numFmtId="0" fontId="17" fillId="14" borderId="7" xfId="0" applyFont="1" applyFill="1" applyBorder="1"/>
    <xf numFmtId="49" fontId="17" fillId="14" borderId="7" xfId="0" applyNumberFormat="1" applyFont="1" applyFill="1" applyBorder="1"/>
    <xf numFmtId="0" fontId="17" fillId="14" borderId="8" xfId="0" applyFont="1" applyFill="1" applyBorder="1"/>
    <xf numFmtId="0" fontId="17" fillId="14" borderId="12" xfId="0" applyFont="1" applyFill="1" applyBorder="1"/>
    <xf numFmtId="0" fontId="17" fillId="14" borderId="9" xfId="0" applyFont="1" applyFill="1" applyBorder="1"/>
    <xf numFmtId="0" fontId="16" fillId="14" borderId="1" xfId="0" applyFont="1" applyFill="1" applyBorder="1" applyAlignment="1">
      <alignment horizontal="right"/>
    </xf>
    <xf numFmtId="0" fontId="16" fillId="14" borderId="0" xfId="0" applyFont="1" applyFill="1"/>
    <xf numFmtId="1" fontId="16" fillId="21" borderId="4" xfId="0" applyNumberFormat="1" applyFont="1" applyFill="1" applyBorder="1" applyAlignment="1">
      <alignment horizontal="center" vertical="center" wrapText="1"/>
    </xf>
    <xf numFmtId="2" fontId="0" fillId="0" borderId="19" xfId="0" applyNumberFormat="1" applyBorder="1"/>
    <xf numFmtId="2" fontId="0" fillId="0" borderId="18" xfId="0" applyNumberFormat="1" applyBorder="1"/>
    <xf numFmtId="0" fontId="46" fillId="20" borderId="6" xfId="0" applyFont="1" applyFill="1" applyBorder="1" applyAlignment="1">
      <alignment vertical="center" wrapText="1"/>
    </xf>
    <xf numFmtId="0" fontId="9" fillId="16" borderId="1" xfId="0" applyFont="1" applyFill="1" applyBorder="1"/>
    <xf numFmtId="0" fontId="32" fillId="3" borderId="4" xfId="0" applyFont="1" applyFill="1" applyBorder="1" applyAlignment="1">
      <alignment horizontal="left" wrapText="1"/>
    </xf>
    <xf numFmtId="0" fontId="10" fillId="0" borderId="0" xfId="0" applyFont="1"/>
    <xf numFmtId="0" fontId="3" fillId="0" borderId="0" xfId="0" applyFont="1"/>
    <xf numFmtId="16" fontId="16" fillId="23" borderId="5" xfId="0" applyNumberFormat="1" applyFont="1" applyFill="1" applyBorder="1" applyAlignment="1">
      <alignment horizontal="left" vertical="center" wrapText="1"/>
    </xf>
    <xf numFmtId="0" fontId="16" fillId="23" borderId="6" xfId="0" applyFont="1" applyFill="1" applyBorder="1" applyAlignment="1">
      <alignment horizontal="left" vertical="center" wrapText="1"/>
    </xf>
    <xf numFmtId="0" fontId="16" fillId="23" borderId="6" xfId="0" applyFont="1" applyFill="1" applyBorder="1" applyAlignment="1">
      <alignment vertical="center" wrapText="1"/>
    </xf>
    <xf numFmtId="0" fontId="16" fillId="23" borderId="6" xfId="0" applyFont="1" applyFill="1" applyBorder="1" applyAlignment="1">
      <alignment horizontal="center" vertical="center" wrapText="1"/>
    </xf>
    <xf numFmtId="1" fontId="16" fillId="23" borderId="6" xfId="0" applyNumberFormat="1" applyFont="1" applyFill="1" applyBorder="1" applyAlignment="1">
      <alignment horizontal="center" vertical="center" wrapText="1"/>
    </xf>
    <xf numFmtId="0" fontId="17" fillId="23" borderId="1" xfId="0" applyFont="1" applyFill="1" applyBorder="1"/>
    <xf numFmtId="0" fontId="17" fillId="23" borderId="2" xfId="0" applyFont="1" applyFill="1" applyBorder="1"/>
    <xf numFmtId="0" fontId="17" fillId="23" borderId="3" xfId="0" applyFont="1" applyFill="1" applyBorder="1"/>
    <xf numFmtId="0" fontId="16" fillId="23" borderId="1" xfId="0" applyFont="1" applyFill="1" applyBorder="1"/>
    <xf numFmtId="0" fontId="16" fillId="23" borderId="4" xfId="0" applyFont="1" applyFill="1" applyBorder="1"/>
    <xf numFmtId="0" fontId="17" fillId="23" borderId="7" xfId="0" applyFont="1" applyFill="1" applyBorder="1"/>
    <xf numFmtId="49" fontId="48" fillId="23" borderId="7" xfId="0" applyNumberFormat="1" applyFont="1" applyFill="1" applyBorder="1" applyAlignment="1">
      <alignment horizontal="center"/>
    </xf>
    <xf numFmtId="0" fontId="17" fillId="23" borderId="8" xfId="0" applyFont="1" applyFill="1" applyBorder="1"/>
    <xf numFmtId="0" fontId="17" fillId="23" borderId="9" xfId="0" applyFont="1" applyFill="1" applyBorder="1"/>
    <xf numFmtId="49" fontId="47" fillId="23" borderId="7" xfId="0" applyNumberFormat="1" applyFont="1" applyFill="1" applyBorder="1" applyAlignment="1">
      <alignment horizontal="center"/>
    </xf>
    <xf numFmtId="0" fontId="16" fillId="23" borderId="5" xfId="0" applyFont="1" applyFill="1" applyBorder="1" applyAlignment="1">
      <alignment vertical="center" wrapText="1"/>
    </xf>
    <xf numFmtId="0" fontId="16" fillId="23" borderId="1" xfId="0" applyFont="1" applyFill="1" applyBorder="1" applyAlignment="1">
      <alignment vertical="center" wrapText="1"/>
    </xf>
    <xf numFmtId="16" fontId="16" fillId="23" borderId="1" xfId="0" applyNumberFormat="1" applyFont="1" applyFill="1" applyBorder="1" applyAlignment="1">
      <alignment horizontal="left" vertical="center" wrapText="1"/>
    </xf>
    <xf numFmtId="0" fontId="16" fillId="23" borderId="1" xfId="0" applyFont="1" applyFill="1" applyBorder="1" applyAlignment="1">
      <alignment horizontal="center" vertical="center" wrapText="1"/>
    </xf>
    <xf numFmtId="49" fontId="47" fillId="23" borderId="1" xfId="0" applyNumberFormat="1" applyFont="1" applyFill="1" applyBorder="1" applyAlignment="1">
      <alignment horizontal="center"/>
    </xf>
    <xf numFmtId="49" fontId="49" fillId="23" borderId="1" xfId="0" applyNumberFormat="1" applyFont="1" applyFill="1" applyBorder="1" applyAlignment="1">
      <alignment horizontal="center"/>
    </xf>
    <xf numFmtId="0" fontId="17" fillId="23" borderId="4" xfId="0" applyFont="1" applyFill="1" applyBorder="1"/>
    <xf numFmtId="0" fontId="16" fillId="23" borderId="13" xfId="0" applyFont="1" applyFill="1" applyBorder="1"/>
    <xf numFmtId="49" fontId="50" fillId="23" borderId="7" xfId="0" applyNumberFormat="1" applyFont="1" applyFill="1" applyBorder="1" applyAlignment="1">
      <alignment horizontal="center"/>
    </xf>
    <xf numFmtId="0" fontId="16" fillId="23" borderId="2" xfId="0" applyFont="1" applyFill="1" applyBorder="1" applyAlignment="1">
      <alignment vertical="center" wrapText="1"/>
    </xf>
    <xf numFmtId="0" fontId="17" fillId="23" borderId="0" xfId="0" applyFont="1" applyFill="1"/>
    <xf numFmtId="0" fontId="16" fillId="23" borderId="1" xfId="0" applyFont="1" applyFill="1" applyBorder="1" applyAlignment="1">
      <alignment horizontal="right"/>
    </xf>
    <xf numFmtId="16" fontId="16" fillId="6" borderId="5" xfId="0" applyNumberFormat="1" applyFont="1" applyFill="1" applyBorder="1" applyAlignment="1">
      <alignment horizontal="left" vertical="center" wrapText="1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7" xfId="0" applyFont="1" applyFill="1" applyBorder="1"/>
    <xf numFmtId="49" fontId="47" fillId="6" borderId="7" xfId="0" applyNumberFormat="1" applyFont="1" applyFill="1" applyBorder="1" applyAlignment="1">
      <alignment horizontal="center"/>
    </xf>
    <xf numFmtId="0" fontId="17" fillId="6" borderId="8" xfId="0" applyFont="1" applyFill="1" applyBorder="1"/>
    <xf numFmtId="0" fontId="17" fillId="6" borderId="1" xfId="0" applyFont="1" applyFill="1" applyBorder="1"/>
    <xf numFmtId="0" fontId="17" fillId="6" borderId="9" xfId="0" applyFont="1" applyFill="1" applyBorder="1"/>
    <xf numFmtId="0" fontId="16" fillId="6" borderId="1" xfId="0" applyFont="1" applyFill="1" applyBorder="1"/>
    <xf numFmtId="0" fontId="16" fillId="6" borderId="4" xfId="0" applyFont="1" applyFill="1" applyBorder="1"/>
    <xf numFmtId="49" fontId="47" fillId="6" borderId="1" xfId="0" applyNumberFormat="1" applyFont="1" applyFill="1" applyBorder="1" applyAlignment="1">
      <alignment horizontal="center"/>
    </xf>
    <xf numFmtId="0" fontId="17" fillId="6" borderId="2" xfId="0" applyFont="1" applyFill="1" applyBorder="1"/>
    <xf numFmtId="0" fontId="17" fillId="6" borderId="3" xfId="0" applyFont="1" applyFill="1" applyBorder="1"/>
    <xf numFmtId="0" fontId="16" fillId="6" borderId="6" xfId="0" applyFont="1" applyFill="1" applyBorder="1" applyAlignment="1">
      <alignment horizontal="left" vertical="center" wrapText="1"/>
    </xf>
    <xf numFmtId="1" fontId="16" fillId="6" borderId="6" xfId="0" applyNumberFormat="1" applyFont="1" applyFill="1" applyBorder="1" applyAlignment="1">
      <alignment horizontal="center" vertical="center" wrapText="1"/>
    </xf>
    <xf numFmtId="49" fontId="48" fillId="6" borderId="7" xfId="0" applyNumberFormat="1" applyFont="1" applyFill="1" applyBorder="1" applyAlignment="1">
      <alignment horizontal="center"/>
    </xf>
    <xf numFmtId="49" fontId="50" fillId="6" borderId="7" xfId="0" applyNumberFormat="1" applyFont="1" applyFill="1" applyBorder="1" applyAlignment="1">
      <alignment horizontal="center"/>
    </xf>
    <xf numFmtId="16" fontId="16" fillId="6" borderId="1" xfId="0" applyNumberFormat="1" applyFont="1" applyFill="1" applyBorder="1" applyAlignment="1">
      <alignment horizontal="left" vertical="center" wrapText="1"/>
    </xf>
    <xf numFmtId="0" fontId="16" fillId="6" borderId="1" xfId="0" applyFont="1" applyFill="1" applyBorder="1" applyAlignment="1">
      <alignment vertical="center" wrapText="1"/>
    </xf>
    <xf numFmtId="0" fontId="16" fillId="6" borderId="1" xfId="0" applyFont="1" applyFill="1" applyBorder="1" applyAlignment="1">
      <alignment horizontal="center" vertical="center" wrapText="1"/>
    </xf>
    <xf numFmtId="49" fontId="49" fillId="6" borderId="1" xfId="0" applyNumberFormat="1" applyFont="1" applyFill="1" applyBorder="1" applyAlignment="1">
      <alignment horizontal="center"/>
    </xf>
    <xf numFmtId="0" fontId="17" fillId="6" borderId="4" xfId="0" applyFont="1" applyFill="1" applyBorder="1"/>
    <xf numFmtId="16" fontId="16" fillId="6" borderId="0" xfId="0" applyNumberFormat="1" applyFont="1" applyFill="1" applyAlignment="1">
      <alignment horizontal="left" vertical="center" wrapText="1"/>
    </xf>
    <xf numFmtId="0" fontId="16" fillId="6" borderId="0" xfId="0" applyFont="1" applyFill="1" applyAlignment="1">
      <alignment vertical="center" wrapText="1"/>
    </xf>
    <xf numFmtId="0" fontId="16" fillId="6" borderId="2" xfId="0" applyFont="1" applyFill="1" applyBorder="1" applyAlignment="1">
      <alignment vertical="center" wrapText="1"/>
    </xf>
    <xf numFmtId="0" fontId="16" fillId="6" borderId="3" xfId="0" applyFont="1" applyFill="1" applyBorder="1" applyAlignment="1">
      <alignment vertical="center" wrapText="1"/>
    </xf>
    <xf numFmtId="49" fontId="48" fillId="6" borderId="1" xfId="0" applyNumberFormat="1" applyFont="1" applyFill="1" applyBorder="1" applyAlignment="1">
      <alignment horizontal="center"/>
    </xf>
    <xf numFmtId="0" fontId="16" fillId="6" borderId="1" xfId="0" applyFont="1" applyFill="1" applyBorder="1" applyAlignment="1">
      <alignment horizontal="center"/>
    </xf>
    <xf numFmtId="0" fontId="16" fillId="6" borderId="16" xfId="0" applyFont="1" applyFill="1" applyBorder="1" applyAlignment="1">
      <alignment vertical="center" wrapText="1"/>
    </xf>
    <xf numFmtId="0" fontId="16" fillId="6" borderId="16" xfId="0" applyFont="1" applyFill="1" applyBorder="1" applyAlignment="1">
      <alignment horizontal="center" vertical="center" wrapText="1"/>
    </xf>
    <xf numFmtId="49" fontId="47" fillId="6" borderId="0" xfId="0" applyNumberFormat="1" applyFont="1" applyFill="1" applyAlignment="1">
      <alignment horizontal="center"/>
    </xf>
    <xf numFmtId="49" fontId="49" fillId="6" borderId="7" xfId="0" applyNumberFormat="1" applyFont="1" applyFill="1" applyBorder="1" applyAlignment="1">
      <alignment horizontal="center"/>
    </xf>
    <xf numFmtId="0" fontId="16" fillId="6" borderId="13" xfId="0" applyFont="1" applyFill="1" applyBorder="1"/>
    <xf numFmtId="0" fontId="16" fillId="6" borderId="4" xfId="0" applyFont="1" applyFill="1" applyBorder="1" applyAlignment="1">
      <alignment horizontal="center"/>
    </xf>
    <xf numFmtId="0" fontId="16" fillId="23" borderId="16" xfId="0" applyFont="1" applyFill="1" applyBorder="1" applyAlignment="1">
      <alignment vertical="center" wrapText="1"/>
    </xf>
    <xf numFmtId="0" fontId="16" fillId="6" borderId="16" xfId="0" applyFont="1" applyFill="1" applyBorder="1" applyAlignment="1">
      <alignment horizontal="left" vertical="center" wrapText="1"/>
    </xf>
    <xf numFmtId="49" fontId="48" fillId="6" borderId="0" xfId="0" applyNumberFormat="1" applyFont="1" applyFill="1" applyAlignment="1">
      <alignment horizontal="center"/>
    </xf>
    <xf numFmtId="0" fontId="13" fillId="3" borderId="0" xfId="0" applyFont="1" applyFill="1"/>
    <xf numFmtId="0" fontId="16" fillId="21" borderId="6" xfId="0" applyFont="1" applyFill="1" applyBorder="1" applyAlignment="1">
      <alignment horizontal="center" vertical="center" wrapText="1"/>
    </xf>
    <xf numFmtId="0" fontId="16" fillId="21" borderId="4" xfId="0" applyFont="1" applyFill="1" applyBorder="1"/>
    <xf numFmtId="0" fontId="16" fillId="23" borderId="1" xfId="0" applyFont="1" applyFill="1" applyBorder="1" applyAlignment="1">
      <alignment horizontal="center"/>
    </xf>
    <xf numFmtId="0" fontId="16" fillId="23" borderId="4" xfId="0" applyFont="1" applyFill="1" applyBorder="1" applyAlignment="1">
      <alignment horizontal="center"/>
    </xf>
    <xf numFmtId="49" fontId="48" fillId="23" borderId="1" xfId="0" applyNumberFormat="1" applyFont="1" applyFill="1" applyBorder="1" applyAlignment="1">
      <alignment horizontal="center"/>
    </xf>
    <xf numFmtId="0" fontId="41" fillId="21" borderId="6" xfId="0" applyFont="1" applyFill="1" applyBorder="1" applyAlignment="1">
      <alignment horizontal="center" vertical="center" wrapText="1"/>
    </xf>
    <xf numFmtId="0" fontId="41" fillId="21" borderId="5" xfId="0" applyFont="1" applyFill="1" applyBorder="1"/>
    <xf numFmtId="0" fontId="41" fillId="21" borderId="5" xfId="0" applyFont="1" applyFill="1" applyBorder="1" applyAlignment="1">
      <alignment horizontal="center" vertical="center" wrapText="1"/>
    </xf>
    <xf numFmtId="0" fontId="41" fillId="6" borderId="6" xfId="0" applyFont="1" applyFill="1" applyBorder="1" applyAlignment="1">
      <alignment horizontal="center" vertical="center" wrapText="1"/>
    </xf>
    <xf numFmtId="0" fontId="41" fillId="23" borderId="6" xfId="0" applyFont="1" applyFill="1" applyBorder="1" applyAlignment="1">
      <alignment horizontal="center" vertical="center" wrapText="1"/>
    </xf>
    <xf numFmtId="16" fontId="16" fillId="23" borderId="18" xfId="0" applyNumberFormat="1" applyFont="1" applyFill="1" applyBorder="1" applyAlignment="1">
      <alignment horizontal="left" vertical="center" wrapText="1"/>
    </xf>
    <xf numFmtId="0" fontId="16" fillId="23" borderId="1" xfId="0" applyFont="1" applyFill="1" applyBorder="1" applyAlignment="1">
      <alignment horizontal="left" vertical="center" wrapText="1"/>
    </xf>
    <xf numFmtId="0" fontId="16" fillId="6" borderId="1" xfId="0" applyFont="1" applyFill="1" applyBorder="1" applyAlignment="1">
      <alignment horizontal="left" vertical="center" wrapText="1"/>
    </xf>
    <xf numFmtId="0" fontId="17" fillId="21" borderId="1" xfId="0" applyFont="1" applyFill="1" applyBorder="1"/>
    <xf numFmtId="49" fontId="16" fillId="6" borderId="7" xfId="0" applyNumberFormat="1" applyFont="1" applyFill="1" applyBorder="1" applyAlignment="1">
      <alignment horizontal="center"/>
    </xf>
    <xf numFmtId="0" fontId="35" fillId="21" borderId="4" xfId="0" applyFont="1" applyFill="1" applyBorder="1" applyAlignment="1">
      <alignment horizontal="center" vertical="center" wrapText="1"/>
    </xf>
    <xf numFmtId="16" fontId="16" fillId="21" borderId="5" xfId="0" applyNumberFormat="1" applyFont="1" applyFill="1" applyBorder="1" applyAlignment="1">
      <alignment horizontal="left" vertical="center" wrapText="1"/>
    </xf>
    <xf numFmtId="0" fontId="16" fillId="21" borderId="6" xfId="0" applyFont="1" applyFill="1" applyBorder="1" applyAlignment="1">
      <alignment vertical="center" wrapText="1"/>
    </xf>
    <xf numFmtId="0" fontId="17" fillId="21" borderId="7" xfId="0" applyFont="1" applyFill="1" applyBorder="1"/>
    <xf numFmtId="0" fontId="17" fillId="21" borderId="8" xfId="0" applyFont="1" applyFill="1" applyBorder="1"/>
    <xf numFmtId="0" fontId="17" fillId="21" borderId="9" xfId="0" applyFont="1" applyFill="1" applyBorder="1"/>
    <xf numFmtId="49" fontId="48" fillId="21" borderId="7" xfId="0" applyNumberFormat="1" applyFont="1" applyFill="1" applyBorder="1" applyAlignment="1">
      <alignment horizontal="center"/>
    </xf>
    <xf numFmtId="0" fontId="32" fillId="3" borderId="7" xfId="0" applyFont="1" applyFill="1" applyBorder="1"/>
    <xf numFmtId="49" fontId="32" fillId="3" borderId="7" xfId="0" applyNumberFormat="1" applyFont="1" applyFill="1" applyBorder="1"/>
    <xf numFmtId="0" fontId="32" fillId="3" borderId="8" xfId="0" applyFont="1" applyFill="1" applyBorder="1"/>
    <xf numFmtId="0" fontId="32" fillId="3" borderId="9" xfId="0" applyFont="1" applyFill="1" applyBorder="1"/>
    <xf numFmtId="0" fontId="16" fillId="6" borderId="7" xfId="0" applyFont="1" applyFill="1" applyBorder="1"/>
    <xf numFmtId="0" fontId="16" fillId="0" borderId="0" xfId="0" applyFont="1"/>
    <xf numFmtId="0" fontId="9" fillId="9" borderId="0" xfId="0" applyFont="1" applyFill="1"/>
    <xf numFmtId="0" fontId="9" fillId="5" borderId="0" xfId="0" applyFont="1" applyFill="1"/>
    <xf numFmtId="0" fontId="2" fillId="0" borderId="0" xfId="0" applyFont="1"/>
    <xf numFmtId="0" fontId="36" fillId="21" borderId="5" xfId="0" applyFont="1" applyFill="1" applyBorder="1"/>
    <xf numFmtId="0" fontId="52" fillId="21" borderId="6" xfId="0" applyFont="1" applyFill="1" applyBorder="1" applyAlignment="1">
      <alignment horizontal="center" vertical="center" wrapText="1"/>
    </xf>
    <xf numFmtId="0" fontId="53" fillId="0" borderId="0" xfId="0" applyFont="1"/>
    <xf numFmtId="0" fontId="52" fillId="3" borderId="0" xfId="0" applyFont="1" applyFill="1"/>
    <xf numFmtId="0" fontId="52" fillId="21" borderId="5" xfId="0" applyFont="1" applyFill="1" applyBorder="1"/>
    <xf numFmtId="0" fontId="52" fillId="21" borderId="4" xfId="0" applyFont="1" applyFill="1" applyBorder="1" applyAlignment="1">
      <alignment horizontal="center" vertical="center" wrapText="1"/>
    </xf>
    <xf numFmtId="0" fontId="52" fillId="6" borderId="4" xfId="0" applyFont="1" applyFill="1" applyBorder="1" applyAlignment="1">
      <alignment horizontal="center" vertical="center" wrapText="1"/>
    </xf>
    <xf numFmtId="0" fontId="52" fillId="23" borderId="4" xfId="0" applyFont="1" applyFill="1" applyBorder="1" applyAlignment="1">
      <alignment horizontal="center" vertical="center" wrapText="1"/>
    </xf>
    <xf numFmtId="0" fontId="35" fillId="6" borderId="4" xfId="0" applyFont="1" applyFill="1" applyBorder="1" applyAlignment="1">
      <alignment horizontal="center" vertical="center" wrapText="1"/>
    </xf>
    <xf numFmtId="0" fontId="35" fillId="23" borderId="4" xfId="0" applyFont="1" applyFill="1" applyBorder="1" applyAlignment="1">
      <alignment horizontal="center" vertical="center" wrapText="1"/>
    </xf>
    <xf numFmtId="16" fontId="52" fillId="3" borderId="0" xfId="0" applyNumberFormat="1" applyFont="1" applyFill="1" applyAlignment="1">
      <alignment horizontal="left" vertical="center" wrapText="1"/>
    </xf>
    <xf numFmtId="0" fontId="52" fillId="3" borderId="0" xfId="0" applyFont="1" applyFill="1" applyAlignment="1">
      <alignment horizontal="left" vertical="center" wrapText="1"/>
    </xf>
    <xf numFmtId="0" fontId="52" fillId="21" borderId="1" xfId="0" applyFont="1" applyFill="1" applyBorder="1"/>
    <xf numFmtId="49" fontId="50" fillId="23" borderId="1" xfId="0" applyNumberFormat="1" applyFont="1" applyFill="1" applyBorder="1" applyAlignment="1">
      <alignment horizontal="center"/>
    </xf>
    <xf numFmtId="16" fontId="16" fillId="3" borderId="0" xfId="0" applyNumberFormat="1" applyFont="1" applyFill="1" applyAlignment="1">
      <alignment horizontal="left" vertical="center" wrapText="1"/>
    </xf>
    <xf numFmtId="0" fontId="16" fillId="23" borderId="0" xfId="0" applyFont="1" applyFill="1" applyAlignment="1">
      <alignment horizontal="left" vertical="center" wrapText="1"/>
    </xf>
    <xf numFmtId="0" fontId="16" fillId="23" borderId="5" xfId="0" applyFont="1" applyFill="1" applyBorder="1"/>
    <xf numFmtId="0" fontId="16" fillId="23" borderId="6" xfId="0" applyFont="1" applyFill="1" applyBorder="1"/>
    <xf numFmtId="0" fontId="52" fillId="21" borderId="5" xfId="0" applyFont="1" applyFill="1" applyBorder="1" applyAlignment="1">
      <alignment horizontal="center" vertical="center" wrapText="1"/>
    </xf>
    <xf numFmtId="0" fontId="52" fillId="6" borderId="6" xfId="0" applyFont="1" applyFill="1" applyBorder="1" applyAlignment="1">
      <alignment horizontal="center" vertical="center" wrapText="1"/>
    </xf>
    <xf numFmtId="0" fontId="52" fillId="23" borderId="6" xfId="0" applyFont="1" applyFill="1" applyBorder="1" applyAlignment="1">
      <alignment horizontal="center" vertical="center" wrapText="1"/>
    </xf>
    <xf numFmtId="0" fontId="52" fillId="0" borderId="0" xfId="0" applyFont="1"/>
    <xf numFmtId="16" fontId="16" fillId="21" borderId="1" xfId="0" applyNumberFormat="1" applyFont="1" applyFill="1" applyBorder="1" applyAlignment="1">
      <alignment horizontal="left" vertical="center" wrapText="1"/>
    </xf>
    <xf numFmtId="0" fontId="16" fillId="21" borderId="1" xfId="0" applyFont="1" applyFill="1" applyBorder="1" applyAlignment="1">
      <alignment vertical="center" wrapText="1"/>
    </xf>
    <xf numFmtId="49" fontId="48" fillId="21" borderId="1" xfId="0" applyNumberFormat="1" applyFont="1" applyFill="1" applyBorder="1" applyAlignment="1">
      <alignment horizontal="center"/>
    </xf>
    <xf numFmtId="16" fontId="16" fillId="23" borderId="0" xfId="0" applyNumberFormat="1" applyFont="1" applyFill="1" applyAlignment="1">
      <alignment horizontal="left" vertical="center" wrapText="1"/>
    </xf>
    <xf numFmtId="0" fontId="16" fillId="23" borderId="0" xfId="0" applyFont="1" applyFill="1" applyAlignment="1">
      <alignment vertical="center" wrapText="1"/>
    </xf>
    <xf numFmtId="0" fontId="35" fillId="21" borderId="2" xfId="0" applyFont="1" applyFill="1" applyBorder="1" applyAlignment="1">
      <alignment horizontal="left" vertical="center" wrapText="1"/>
    </xf>
    <xf numFmtId="0" fontId="51" fillId="0" borderId="0" xfId="0" applyFont="1"/>
    <xf numFmtId="0" fontId="28" fillId="0" borderId="0" xfId="0" applyFont="1"/>
    <xf numFmtId="49" fontId="47" fillId="21" borderId="1" xfId="0" applyNumberFormat="1" applyFont="1" applyFill="1" applyBorder="1" applyAlignment="1">
      <alignment horizontal="center"/>
    </xf>
    <xf numFmtId="0" fontId="16" fillId="6" borderId="5" xfId="0" applyFont="1" applyFill="1" applyBorder="1" applyAlignment="1">
      <alignment vertical="center" wrapText="1"/>
    </xf>
    <xf numFmtId="49" fontId="49" fillId="21" borderId="7" xfId="0" applyNumberFormat="1" applyFont="1" applyFill="1" applyBorder="1" applyAlignment="1">
      <alignment horizontal="center"/>
    </xf>
    <xf numFmtId="0" fontId="16" fillId="21" borderId="1" xfId="0" applyFont="1" applyFill="1" applyBorder="1" applyAlignment="1">
      <alignment horizontal="center"/>
    </xf>
    <xf numFmtId="0" fontId="16" fillId="21" borderId="4" xfId="0" applyFont="1" applyFill="1" applyBorder="1" applyAlignment="1">
      <alignment horizontal="center"/>
    </xf>
    <xf numFmtId="0" fontId="1" fillId="0" borderId="0" xfId="0" applyFont="1"/>
    <xf numFmtId="49" fontId="16" fillId="6" borderId="0" xfId="0" applyNumberFormat="1" applyFont="1" applyFill="1" applyAlignment="1">
      <alignment horizontal="center"/>
    </xf>
    <xf numFmtId="49" fontId="50" fillId="21" borderId="7" xfId="0" applyNumberFormat="1" applyFont="1" applyFill="1" applyBorder="1" applyAlignment="1">
      <alignment horizontal="center"/>
    </xf>
    <xf numFmtId="0" fontId="16" fillId="21" borderId="4" xfId="0" applyFont="1" applyFill="1" applyBorder="1" applyAlignment="1">
      <alignment horizontal="right" vertical="center" wrapText="1"/>
    </xf>
    <xf numFmtId="0" fontId="16" fillId="6" borderId="4" xfId="0" applyFont="1" applyFill="1" applyBorder="1" applyAlignment="1">
      <alignment horizontal="right" vertical="center" wrapText="1"/>
    </xf>
    <xf numFmtId="0" fontId="16" fillId="23" borderId="4" xfId="0" applyFont="1" applyFill="1" applyBorder="1" applyAlignment="1">
      <alignment horizontal="right" vertical="center" wrapText="1"/>
    </xf>
    <xf numFmtId="0" fontId="16" fillId="22" borderId="4" xfId="0" applyFont="1" applyFill="1" applyBorder="1" applyAlignment="1">
      <alignment horizontal="right" vertical="center" wrapText="1"/>
    </xf>
    <xf numFmtId="0" fontId="35" fillId="21" borderId="1" xfId="0" applyFont="1" applyFill="1" applyBorder="1" applyAlignment="1">
      <alignment horizontal="right" vertical="center" wrapText="1"/>
    </xf>
    <xf numFmtId="0" fontId="35" fillId="6" borderId="1" xfId="0" applyFont="1" applyFill="1" applyBorder="1" applyAlignment="1">
      <alignment horizontal="right" vertical="center" wrapText="1"/>
    </xf>
    <xf numFmtId="0" fontId="35" fillId="23" borderId="1" xfId="0" applyFont="1" applyFill="1" applyBorder="1" applyAlignment="1">
      <alignment horizontal="right" vertical="center" wrapText="1"/>
    </xf>
    <xf numFmtId="0" fontId="52" fillId="21" borderId="5" xfId="0" applyFont="1" applyFill="1" applyBorder="1" applyAlignment="1">
      <alignment horizontal="right" vertical="center" wrapText="1"/>
    </xf>
    <xf numFmtId="0" fontId="52" fillId="21" borderId="6" xfId="0" applyFont="1" applyFill="1" applyBorder="1" applyAlignment="1">
      <alignment horizontal="right" vertical="center" wrapText="1"/>
    </xf>
    <xf numFmtId="0" fontId="52" fillId="6" borderId="6" xfId="0" applyFont="1" applyFill="1" applyBorder="1" applyAlignment="1">
      <alignment horizontal="right" vertical="center" wrapText="1"/>
    </xf>
    <xf numFmtId="0" fontId="52" fillId="23" borderId="6" xfId="0" applyFont="1" applyFill="1" applyBorder="1" applyAlignment="1">
      <alignment horizontal="right" vertical="center" wrapText="1"/>
    </xf>
    <xf numFmtId="0" fontId="16" fillId="6" borderId="2" xfId="0" applyFont="1" applyFill="1" applyBorder="1"/>
    <xf numFmtId="0" fontId="16" fillId="23" borderId="16" xfId="0" applyFont="1" applyFill="1" applyBorder="1" applyAlignment="1">
      <alignment horizontal="center" vertical="center" wrapText="1"/>
    </xf>
    <xf numFmtId="49" fontId="17" fillId="6" borderId="1" xfId="0" applyNumberFormat="1" applyFont="1" applyFill="1" applyBorder="1" applyAlignment="1">
      <alignment horizontal="center"/>
    </xf>
    <xf numFmtId="16" fontId="16" fillId="23" borderId="2" xfId="0" applyNumberFormat="1" applyFont="1" applyFill="1" applyBorder="1" applyAlignment="1">
      <alignment horizontal="left" vertical="center" wrapText="1"/>
    </xf>
    <xf numFmtId="0" fontId="16" fillId="23" borderId="3" xfId="0" applyFont="1" applyFill="1" applyBorder="1" applyAlignment="1">
      <alignment vertical="center" wrapText="1"/>
    </xf>
    <xf numFmtId="0" fontId="16" fillId="23" borderId="7" xfId="0" applyFont="1" applyFill="1" applyBorder="1"/>
    <xf numFmtId="14" fontId="9" fillId="19" borderId="0" xfId="0" applyNumberFormat="1" applyFont="1" applyFill="1"/>
    <xf numFmtId="0" fontId="9" fillId="19" borderId="0" xfId="0" applyFont="1" applyFill="1"/>
    <xf numFmtId="0" fontId="9" fillId="19" borderId="0" xfId="0" applyFont="1" applyFill="1" applyAlignment="1">
      <alignment horizontal="center"/>
    </xf>
    <xf numFmtId="2" fontId="9" fillId="0" borderId="18" xfId="0" applyNumberFormat="1" applyFont="1" applyBorder="1"/>
    <xf numFmtId="2" fontId="9" fillId="0" borderId="19" xfId="0" applyNumberFormat="1" applyFont="1" applyBorder="1"/>
    <xf numFmtId="0" fontId="16" fillId="11" borderId="3" xfId="0" applyFont="1" applyFill="1" applyBorder="1"/>
    <xf numFmtId="20" fontId="9" fillId="19" borderId="0" xfId="0" applyNumberFormat="1" applyFont="1" applyFill="1"/>
    <xf numFmtId="0" fontId="9" fillId="19" borderId="0" xfId="0" applyFont="1" applyFill="1" applyAlignment="1">
      <alignment horizontal="left"/>
    </xf>
    <xf numFmtId="0" fontId="9" fillId="16" borderId="1" xfId="0" applyFont="1" applyFill="1" applyBorder="1" applyAlignment="1">
      <alignment horizontal="right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20" borderId="5" xfId="0" applyFont="1" applyFill="1" applyBorder="1" applyAlignment="1">
      <alignment horizontal="right" vertical="center" wrapText="1"/>
    </xf>
    <xf numFmtId="0" fontId="30" fillId="20" borderId="6" xfId="0" applyFont="1" applyFill="1" applyBorder="1" applyAlignment="1">
      <alignment horizontal="right" vertical="center" wrapText="1"/>
    </xf>
    <xf numFmtId="0" fontId="29" fillId="20" borderId="6" xfId="0" applyFont="1" applyFill="1" applyBorder="1" applyAlignment="1">
      <alignment horizontal="right" vertical="center" wrapText="1"/>
    </xf>
    <xf numFmtId="0" fontId="55" fillId="7" borderId="6" xfId="0" applyFont="1" applyFill="1" applyBorder="1" applyAlignment="1">
      <alignment vertical="center" wrapText="1"/>
    </xf>
    <xf numFmtId="0" fontId="55" fillId="11" borderId="6" xfId="0" applyFont="1" applyFill="1" applyBorder="1" applyAlignment="1">
      <alignment vertical="center" wrapText="1"/>
    </xf>
    <xf numFmtId="0" fontId="32" fillId="20" borderId="6" xfId="0" applyFont="1" applyFill="1" applyBorder="1" applyAlignment="1">
      <alignment vertical="center" wrapText="1"/>
    </xf>
    <xf numFmtId="0" fontId="55" fillId="4" borderId="6" xfId="0" applyFont="1" applyFill="1" applyBorder="1" applyAlignment="1">
      <alignment vertical="center" wrapText="1"/>
    </xf>
    <xf numFmtId="16" fontId="0" fillId="0" borderId="0" xfId="0" applyNumberFormat="1"/>
    <xf numFmtId="49" fontId="17" fillId="23" borderId="7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right"/>
    </xf>
    <xf numFmtId="0" fontId="56" fillId="19" borderId="0" xfId="0" applyFont="1" applyFill="1" applyAlignment="1">
      <alignment horizontal="right" vertical="center"/>
    </xf>
    <xf numFmtId="1" fontId="1" fillId="0" borderId="0" xfId="0" applyNumberFormat="1" applyFont="1" applyAlignment="1">
      <alignment horizontal="right"/>
    </xf>
    <xf numFmtId="0" fontId="12" fillId="16" borderId="1" xfId="0" applyFont="1" applyFill="1" applyBorder="1" applyAlignment="1">
      <alignment horizontal="left" vertical="center" wrapText="1"/>
    </xf>
    <xf numFmtId="49" fontId="48" fillId="23" borderId="0" xfId="0" applyNumberFormat="1" applyFont="1" applyFill="1" applyAlignment="1">
      <alignment horizontal="center"/>
    </xf>
    <xf numFmtId="2" fontId="0" fillId="0" borderId="18" xfId="0" applyNumberFormat="1" applyBorder="1" applyAlignment="1">
      <alignment horizontal="right"/>
    </xf>
    <xf numFmtId="2" fontId="0" fillId="0" borderId="19" xfId="0" applyNumberFormat="1" applyBorder="1" applyAlignment="1">
      <alignment horizontal="right"/>
    </xf>
    <xf numFmtId="0" fontId="57" fillId="0" borderId="0" xfId="0" applyFont="1"/>
    <xf numFmtId="49" fontId="17" fillId="6" borderId="7" xfId="0" applyNumberFormat="1" applyFont="1" applyFill="1" applyBorder="1" applyAlignment="1">
      <alignment horizontal="center"/>
    </xf>
    <xf numFmtId="49" fontId="16" fillId="23" borderId="1" xfId="0" applyNumberFormat="1" applyFont="1" applyFill="1" applyBorder="1" applyAlignment="1">
      <alignment horizontal="center"/>
    </xf>
    <xf numFmtId="16" fontId="13" fillId="3" borderId="0" xfId="0" applyNumberFormat="1" applyFont="1" applyFill="1" applyAlignment="1">
      <alignment horizontal="left" vertical="center" wrapText="1"/>
    </xf>
    <xf numFmtId="16" fontId="16" fillId="6" borderId="10" xfId="0" applyNumberFormat="1" applyFont="1" applyFill="1" applyBorder="1" applyAlignment="1">
      <alignment horizontal="left" vertical="center" wrapText="1"/>
    </xf>
    <xf numFmtId="0" fontId="16" fillId="21" borderId="2" xfId="0" applyFont="1" applyFill="1" applyBorder="1" applyAlignment="1">
      <alignment vertical="center" wrapText="1"/>
    </xf>
    <xf numFmtId="0" fontId="16" fillId="21" borderId="4" xfId="0" applyFont="1" applyFill="1" applyBorder="1" applyAlignment="1">
      <alignment horizontal="right"/>
    </xf>
    <xf numFmtId="1" fontId="1" fillId="0" borderId="0" xfId="0" applyNumberFormat="1" applyFont="1"/>
    <xf numFmtId="49" fontId="49" fillId="23" borderId="7" xfId="0" applyNumberFormat="1" applyFont="1" applyFill="1" applyBorder="1" applyAlignment="1">
      <alignment horizontal="center"/>
    </xf>
    <xf numFmtId="0" fontId="36" fillId="21" borderId="6" xfId="0" applyFont="1" applyFill="1" applyBorder="1" applyAlignment="1">
      <alignment horizontal="center" vertical="center" wrapText="1"/>
    </xf>
    <xf numFmtId="0" fontId="37" fillId="21" borderId="1" xfId="0" applyFont="1" applyFill="1" applyBorder="1"/>
    <xf numFmtId="0" fontId="37" fillId="3" borderId="0" xfId="0" applyFont="1" applyFill="1"/>
    <xf numFmtId="49" fontId="58" fillId="3" borderId="0" xfId="0" applyNumberFormat="1" applyFont="1" applyFill="1" applyAlignment="1">
      <alignment horizontal="center"/>
    </xf>
    <xf numFmtId="0" fontId="59" fillId="6" borderId="5" xfId="0" applyFont="1" applyFill="1" applyBorder="1" applyAlignment="1">
      <alignment vertical="center" wrapText="1"/>
    </xf>
    <xf numFmtId="0" fontId="18" fillId="8" borderId="5" xfId="0" applyFont="1" applyFill="1" applyBorder="1" applyAlignment="1">
      <alignment vertical="center" wrapText="1"/>
    </xf>
    <xf numFmtId="0" fontId="12" fillId="16" borderId="1" xfId="0" applyFont="1" applyFill="1" applyBorder="1" applyAlignment="1">
      <alignment horizontal="right" vertical="center" wrapText="1"/>
    </xf>
    <xf numFmtId="0" fontId="17" fillId="23" borderId="5" xfId="0" applyFont="1" applyFill="1" applyBorder="1"/>
    <xf numFmtId="0" fontId="16" fillId="21" borderId="13" xfId="0" applyFont="1" applyFill="1" applyBorder="1"/>
    <xf numFmtId="0" fontId="17" fillId="21" borderId="5" xfId="0" applyFont="1" applyFill="1" applyBorder="1"/>
    <xf numFmtId="0" fontId="27" fillId="17" borderId="4" xfId="0" applyFont="1" applyFill="1" applyBorder="1" applyAlignment="1">
      <alignment horizontal="center" vertical="center" wrapText="1"/>
    </xf>
    <xf numFmtId="0" fontId="60" fillId="8" borderId="1" xfId="0" applyFont="1" applyFill="1" applyBorder="1"/>
    <xf numFmtId="0" fontId="26" fillId="6" borderId="1" xfId="0" applyFont="1" applyFill="1" applyBorder="1"/>
    <xf numFmtId="0" fontId="32" fillId="27" borderId="1" xfId="0" applyFont="1" applyFill="1" applyBorder="1"/>
    <xf numFmtId="0" fontId="16" fillId="28" borderId="1" xfId="0" applyFont="1" applyFill="1" applyBorder="1"/>
    <xf numFmtId="0" fontId="27" fillId="17" borderId="1" xfId="0" applyFont="1" applyFill="1" applyBorder="1" applyAlignment="1">
      <alignment horizontal="center" vertical="center" wrapText="1"/>
    </xf>
    <xf numFmtId="0" fontId="9" fillId="17" borderId="1" xfId="0" applyFont="1" applyFill="1" applyBorder="1" applyAlignment="1">
      <alignment horizontal="right" vertical="center" wrapText="1"/>
    </xf>
    <xf numFmtId="0" fontId="9" fillId="17" borderId="5" xfId="0" applyFont="1" applyFill="1" applyBorder="1" applyAlignment="1">
      <alignment horizontal="right" vertical="center" wrapText="1"/>
    </xf>
    <xf numFmtId="0" fontId="12" fillId="16" borderId="4" xfId="0" applyFont="1" applyFill="1" applyBorder="1" applyAlignment="1">
      <alignment horizontal="left" vertical="center" wrapText="1"/>
    </xf>
    <xf numFmtId="0" fontId="9" fillId="16" borderId="4" xfId="0" applyFont="1" applyFill="1" applyBorder="1" applyAlignment="1">
      <alignment horizontal="left" vertical="center" wrapText="1"/>
    </xf>
    <xf numFmtId="0" fontId="12" fillId="17" borderId="5" xfId="0" applyFont="1" applyFill="1" applyBorder="1" applyAlignment="1">
      <alignment vertical="center" wrapText="1"/>
    </xf>
    <xf numFmtId="0" fontId="9" fillId="17" borderId="6" xfId="0" applyFont="1" applyFill="1" applyBorder="1" applyAlignment="1">
      <alignment horizontal="right" vertical="center" wrapText="1"/>
    </xf>
    <xf numFmtId="0" fontId="12" fillId="17" borderId="4" xfId="0" applyFont="1" applyFill="1" applyBorder="1" applyAlignment="1">
      <alignment vertical="center" wrapText="1"/>
    </xf>
    <xf numFmtId="0" fontId="16" fillId="13" borderId="5" xfId="0" applyFont="1" applyFill="1" applyBorder="1"/>
    <xf numFmtId="0" fontId="60" fillId="8" borderId="5" xfId="0" applyFont="1" applyFill="1" applyBorder="1"/>
    <xf numFmtId="0" fontId="9" fillId="3" borderId="5" xfId="0" applyFont="1" applyFill="1" applyBorder="1"/>
    <xf numFmtId="0" fontId="16" fillId="28" borderId="5" xfId="0" applyFont="1" applyFill="1" applyBorder="1"/>
    <xf numFmtId="0" fontId="36" fillId="21" borderId="4" xfId="0" applyFont="1" applyFill="1" applyBorder="1" applyAlignment="1">
      <alignment horizontal="center"/>
    </xf>
    <xf numFmtId="0" fontId="47" fillId="23" borderId="1" xfId="0" applyFont="1" applyFill="1" applyBorder="1" applyAlignment="1">
      <alignment horizontal="center"/>
    </xf>
    <xf numFmtId="0" fontId="9" fillId="16" borderId="4" xfId="0" applyFont="1" applyFill="1" applyBorder="1" applyAlignment="1">
      <alignment horizontal="left"/>
    </xf>
    <xf numFmtId="0" fontId="9" fillId="16" borderId="1" xfId="0" applyFont="1" applyFill="1" applyBorder="1" applyAlignment="1">
      <alignment horizontal="left" vertical="center" wrapText="1"/>
    </xf>
    <xf numFmtId="49" fontId="47" fillId="23" borderId="5" xfId="0" applyNumberFormat="1" applyFont="1" applyFill="1" applyBorder="1" applyAlignment="1">
      <alignment horizontal="center"/>
    </xf>
    <xf numFmtId="49" fontId="17" fillId="6" borderId="0" xfId="0" applyNumberFormat="1" applyFont="1" applyFill="1" applyAlignment="1">
      <alignment horizontal="center"/>
    </xf>
    <xf numFmtId="49" fontId="17" fillId="23" borderId="1" xfId="0" applyNumberFormat="1" applyFont="1" applyFill="1" applyBorder="1" applyAlignment="1">
      <alignment horizontal="center"/>
    </xf>
    <xf numFmtId="49" fontId="49" fillId="6" borderId="0" xfId="0" applyNumberFormat="1" applyFont="1" applyFill="1" applyAlignment="1">
      <alignment horizontal="center"/>
    </xf>
    <xf numFmtId="0" fontId="27" fillId="17" borderId="1" xfId="0" applyFont="1" applyFill="1" applyBorder="1" applyAlignment="1">
      <alignment horizontal="left" vertical="center" wrapText="1"/>
    </xf>
    <xf numFmtId="49" fontId="17" fillId="21" borderId="1" xfId="0" applyNumberFormat="1" applyFont="1" applyFill="1" applyBorder="1" applyAlignment="1">
      <alignment horizontal="center"/>
    </xf>
    <xf numFmtId="49" fontId="16" fillId="21" borderId="1" xfId="0" applyNumberFormat="1" applyFont="1" applyFill="1" applyBorder="1" applyAlignment="1">
      <alignment horizontal="center"/>
    </xf>
    <xf numFmtId="1" fontId="48" fillId="23" borderId="1" xfId="0" applyNumberFormat="1" applyFont="1" applyFill="1" applyBorder="1" applyAlignment="1">
      <alignment horizontal="center"/>
    </xf>
    <xf numFmtId="0" fontId="9" fillId="0" borderId="17" xfId="0" applyFont="1" applyBorder="1"/>
    <xf numFmtId="1" fontId="9" fillId="0" borderId="13" xfId="0" applyNumberFormat="1" applyFont="1" applyBorder="1"/>
    <xf numFmtId="0" fontId="0" fillId="6" borderId="0" xfId="0" applyFill="1"/>
    <xf numFmtId="0" fontId="17" fillId="6" borderId="0" xfId="0" applyFont="1" applyFill="1" applyAlignment="1">
      <alignment horizontal="right"/>
    </xf>
    <xf numFmtId="0" fontId="0" fillId="0" borderId="0" xfId="0" applyAlignment="1">
      <alignment horizontal="left"/>
    </xf>
    <xf numFmtId="0" fontId="29" fillId="19" borderId="0" xfId="0" applyFont="1" applyFill="1" applyAlignment="1">
      <alignment horizontal="right" vertical="center"/>
    </xf>
    <xf numFmtId="0" fontId="9" fillId="19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29" fillId="19" borderId="0" xfId="0" applyFont="1" applyFill="1" applyAlignment="1">
      <alignment vertical="center"/>
    </xf>
    <xf numFmtId="0" fontId="28" fillId="19" borderId="0" xfId="0" applyFont="1" applyFill="1"/>
    <xf numFmtId="0" fontId="30" fillId="3" borderId="0" xfId="0" applyFont="1" applyFill="1" applyAlignment="1">
      <alignment vertical="center"/>
    </xf>
    <xf numFmtId="0" fontId="31" fillId="0" borderId="0" xfId="0" applyFont="1" applyAlignment="1">
      <alignment vertical="center" wrapText="1"/>
    </xf>
    <xf numFmtId="0" fontId="9" fillId="19" borderId="0" xfId="0" applyFont="1" applyFill="1"/>
    <xf numFmtId="0" fontId="0" fillId="19" borderId="0" xfId="0" applyFill="1"/>
    <xf numFmtId="0" fontId="27" fillId="17" borderId="2" xfId="0" applyFont="1" applyFill="1" applyBorder="1" applyAlignment="1">
      <alignment horizontal="center" vertical="center" wrapText="1"/>
    </xf>
    <xf numFmtId="0" fontId="27" fillId="17" borderId="4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left"/>
    </xf>
    <xf numFmtId="0" fontId="0" fillId="0" borderId="0" xfId="0"/>
    <xf numFmtId="0" fontId="9" fillId="8" borderId="7" xfId="0" applyFont="1" applyFill="1" applyBorder="1" applyAlignment="1">
      <alignment horizontal="center"/>
    </xf>
    <xf numFmtId="0" fontId="9" fillId="8" borderId="5" xfId="0" applyFont="1" applyFill="1" applyBorder="1" applyAlignment="1">
      <alignment horizontal="center"/>
    </xf>
    <xf numFmtId="0" fontId="9" fillId="8" borderId="2" xfId="0" applyFont="1" applyFill="1" applyBorder="1" applyAlignment="1">
      <alignment horizontal="center"/>
    </xf>
    <xf numFmtId="0" fontId="9" fillId="8" borderId="4" xfId="0" applyFont="1" applyFill="1" applyBorder="1" applyAlignment="1">
      <alignment horizontal="center"/>
    </xf>
    <xf numFmtId="0" fontId="9" fillId="8" borderId="3" xfId="0" applyFont="1" applyFill="1" applyBorder="1" applyAlignment="1">
      <alignment horizontal="center"/>
    </xf>
    <xf numFmtId="0" fontId="27" fillId="16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3" fillId="3" borderId="0" xfId="0" applyFont="1" applyFill="1" applyAlignment="1">
      <alignment wrapText="1"/>
    </xf>
    <xf numFmtId="0" fontId="16" fillId="13" borderId="2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6" fillId="13" borderId="16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16" fillId="13" borderId="2" xfId="0" applyFont="1" applyFill="1" applyBorder="1" applyAlignment="1">
      <alignment horizontal="center" vertical="center" wrapText="1"/>
    </xf>
    <xf numFmtId="0" fontId="16" fillId="13" borderId="4" xfId="0" applyFont="1" applyFill="1" applyBorder="1" applyAlignment="1">
      <alignment horizontal="center" vertical="center" wrapText="1"/>
    </xf>
    <xf numFmtId="0" fontId="16" fillId="13" borderId="3" xfId="0" applyFont="1" applyFill="1" applyBorder="1" applyAlignment="1">
      <alignment horizontal="center" vertical="center" wrapText="1"/>
    </xf>
    <xf numFmtId="0" fontId="16" fillId="21" borderId="2" xfId="0" applyFont="1" applyFill="1" applyBorder="1" applyAlignment="1">
      <alignment horizontal="left" vertical="center" wrapText="1"/>
    </xf>
    <xf numFmtId="0" fontId="16" fillId="21" borderId="3" xfId="0" applyFont="1" applyFill="1" applyBorder="1" applyAlignment="1">
      <alignment horizontal="left" vertical="center" wrapText="1"/>
    </xf>
    <xf numFmtId="0" fontId="16" fillId="21" borderId="4" xfId="0" applyFont="1" applyFill="1" applyBorder="1" applyAlignment="1">
      <alignment horizontal="left" vertical="center" wrapText="1"/>
    </xf>
    <xf numFmtId="0" fontId="16" fillId="13" borderId="2" xfId="0" applyFont="1" applyFill="1" applyBorder="1" applyAlignment="1">
      <alignment horizontal="center" wrapText="1"/>
    </xf>
    <xf numFmtId="0" fontId="16" fillId="13" borderId="4" xfId="0" applyFont="1" applyFill="1" applyBorder="1" applyAlignment="1">
      <alignment horizontal="center" wrapText="1"/>
    </xf>
    <xf numFmtId="0" fontId="16" fillId="13" borderId="3" xfId="0" applyFont="1" applyFill="1" applyBorder="1" applyAlignment="1">
      <alignment horizontal="center" wrapText="1"/>
    </xf>
    <xf numFmtId="0" fontId="16" fillId="13" borderId="2" xfId="0" applyFont="1" applyFill="1" applyBorder="1" applyAlignment="1">
      <alignment horizontal="left" wrapText="1"/>
    </xf>
    <xf numFmtId="0" fontId="16" fillId="13" borderId="3" xfId="0" applyFont="1" applyFill="1" applyBorder="1" applyAlignment="1">
      <alignment horizontal="left" wrapText="1"/>
    </xf>
    <xf numFmtId="0" fontId="41" fillId="21" borderId="10" xfId="0" applyFont="1" applyFill="1" applyBorder="1" applyAlignment="1">
      <alignment horizontal="left" vertical="center" wrapText="1"/>
    </xf>
    <xf numFmtId="0" fontId="41" fillId="21" borderId="16" xfId="0" applyFont="1" applyFill="1" applyBorder="1" applyAlignment="1">
      <alignment horizontal="left" vertical="center" wrapText="1"/>
    </xf>
    <xf numFmtId="0" fontId="41" fillId="21" borderId="6" xfId="0" applyFont="1" applyFill="1" applyBorder="1" applyAlignment="1">
      <alignment horizontal="left" vertical="center" wrapText="1"/>
    </xf>
    <xf numFmtId="0" fontId="52" fillId="21" borderId="2" xfId="0" applyFont="1" applyFill="1" applyBorder="1" applyAlignment="1">
      <alignment horizontal="left" vertical="center" wrapText="1"/>
    </xf>
    <xf numFmtId="0" fontId="53" fillId="0" borderId="3" xfId="0" applyFont="1" applyBorder="1" applyAlignment="1">
      <alignment horizontal="left" vertical="center" wrapText="1"/>
    </xf>
    <xf numFmtId="0" fontId="53" fillId="0" borderId="4" xfId="0" applyFont="1" applyBorder="1" applyAlignment="1">
      <alignment horizontal="left" vertical="center" wrapText="1"/>
    </xf>
    <xf numFmtId="0" fontId="18" fillId="9" borderId="2" xfId="0" applyFont="1" applyFill="1" applyBorder="1" applyAlignment="1">
      <alignment horizontal="center"/>
    </xf>
    <xf numFmtId="0" fontId="15" fillId="9" borderId="3" xfId="0" applyFont="1" applyFill="1" applyBorder="1" applyAlignment="1">
      <alignment horizontal="center"/>
    </xf>
    <xf numFmtId="0" fontId="15" fillId="9" borderId="4" xfId="0" applyFont="1" applyFill="1" applyBorder="1" applyAlignment="1">
      <alignment horizontal="center"/>
    </xf>
    <xf numFmtId="0" fontId="41" fillId="21" borderId="2" xfId="0" applyFont="1" applyFill="1" applyBorder="1" applyAlignment="1">
      <alignment horizontal="left" vertical="center" wrapText="1"/>
    </xf>
    <xf numFmtId="0" fontId="41" fillId="21" borderId="3" xfId="0" applyFont="1" applyFill="1" applyBorder="1" applyAlignment="1">
      <alignment horizontal="left" vertical="center" wrapText="1"/>
    </xf>
    <xf numFmtId="0" fontId="41" fillId="21" borderId="4" xfId="0" applyFont="1" applyFill="1" applyBorder="1" applyAlignment="1">
      <alignment horizontal="left" vertical="center" wrapText="1"/>
    </xf>
    <xf numFmtId="0" fontId="18" fillId="9" borderId="2" xfId="0" applyFont="1" applyFill="1" applyBorder="1" applyAlignment="1">
      <alignment horizontal="center" vertical="center" wrapText="1"/>
    </xf>
    <xf numFmtId="0" fontId="18" fillId="9" borderId="3" xfId="0" applyFont="1" applyFill="1" applyBorder="1" applyAlignment="1">
      <alignment horizontal="center" vertical="center" wrapText="1"/>
    </xf>
    <xf numFmtId="0" fontId="18" fillId="9" borderId="4" xfId="0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left" wrapText="1"/>
    </xf>
    <xf numFmtId="0" fontId="18" fillId="9" borderId="3" xfId="0" applyFont="1" applyFill="1" applyBorder="1" applyAlignment="1">
      <alignment horizontal="left" wrapText="1"/>
    </xf>
    <xf numFmtId="0" fontId="18" fillId="9" borderId="2" xfId="0" applyFont="1" applyFill="1" applyBorder="1" applyAlignment="1">
      <alignment horizontal="center" wrapText="1"/>
    </xf>
    <xf numFmtId="0" fontId="18" fillId="9" borderId="3" xfId="0" applyFont="1" applyFill="1" applyBorder="1" applyAlignment="1">
      <alignment horizontal="center" wrapText="1"/>
    </xf>
    <xf numFmtId="0" fontId="18" fillId="9" borderId="4" xfId="0" applyFont="1" applyFill="1" applyBorder="1" applyAlignment="1">
      <alignment horizontal="center" wrapText="1"/>
    </xf>
    <xf numFmtId="16" fontId="13" fillId="3" borderId="0" xfId="0" applyNumberFormat="1" applyFont="1" applyFill="1" applyAlignment="1">
      <alignment horizontal="left" vertical="center" wrapText="1"/>
    </xf>
    <xf numFmtId="0" fontId="13" fillId="0" borderId="0" xfId="0" applyFont="1"/>
    <xf numFmtId="0" fontId="10" fillId="0" borderId="0" xfId="0" applyFont="1" applyAlignment="1">
      <alignment vertical="center" wrapText="1"/>
    </xf>
    <xf numFmtId="0" fontId="8" fillId="0" borderId="0" xfId="0" applyFont="1"/>
    <xf numFmtId="0" fontId="10" fillId="10" borderId="2" xfId="0" applyFont="1" applyFill="1" applyBorder="1" applyAlignment="1">
      <alignment horizontal="center"/>
    </xf>
    <xf numFmtId="0" fontId="10" fillId="10" borderId="2" xfId="0" applyFont="1" applyFill="1" applyBorder="1" applyAlignment="1">
      <alignment horizontal="center" vertical="center" wrapText="1"/>
    </xf>
    <xf numFmtId="0" fontId="10" fillId="10" borderId="3" xfId="0" applyFont="1" applyFill="1" applyBorder="1" applyAlignment="1">
      <alignment horizontal="center" vertical="center" wrapText="1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left" wrapText="1"/>
    </xf>
    <xf numFmtId="0" fontId="10" fillId="10" borderId="3" xfId="0" applyFont="1" applyFill="1" applyBorder="1" applyAlignment="1">
      <alignment horizontal="left" wrapText="1"/>
    </xf>
    <xf numFmtId="0" fontId="10" fillId="10" borderId="2" xfId="0" applyFont="1" applyFill="1" applyBorder="1" applyAlignment="1">
      <alignment horizontal="center" wrapText="1"/>
    </xf>
    <xf numFmtId="0" fontId="10" fillId="10" borderId="3" xfId="0" applyFont="1" applyFill="1" applyBorder="1" applyAlignment="1">
      <alignment horizontal="center" wrapText="1"/>
    </xf>
    <xf numFmtId="0" fontId="10" fillId="10" borderId="4" xfId="0" applyFont="1" applyFill="1" applyBorder="1" applyAlignment="1">
      <alignment horizontal="center" wrapText="1"/>
    </xf>
    <xf numFmtId="0" fontId="52" fillId="21" borderId="3" xfId="0" applyFont="1" applyFill="1" applyBorder="1" applyAlignment="1">
      <alignment horizontal="left" vertical="center" wrapText="1"/>
    </xf>
    <xf numFmtId="0" fontId="52" fillId="21" borderId="4" xfId="0" applyFont="1" applyFill="1" applyBorder="1" applyAlignment="1">
      <alignment horizontal="left" vertical="center" wrapText="1"/>
    </xf>
    <xf numFmtId="0" fontId="32" fillId="3" borderId="2" xfId="0" applyFont="1" applyFill="1" applyBorder="1" applyAlignment="1">
      <alignment horizontal="center"/>
    </xf>
    <xf numFmtId="0" fontId="32" fillId="0" borderId="3" xfId="0" applyFont="1" applyBorder="1" applyAlignment="1">
      <alignment horizontal="center"/>
    </xf>
    <xf numFmtId="0" fontId="32" fillId="0" borderId="4" xfId="0" applyFont="1" applyBorder="1" applyAlignment="1">
      <alignment horizontal="center"/>
    </xf>
    <xf numFmtId="0" fontId="35" fillId="21" borderId="2" xfId="0" applyFont="1" applyFill="1" applyBorder="1" applyAlignment="1">
      <alignment horizontal="left" vertical="center" wrapText="1"/>
    </xf>
    <xf numFmtId="0" fontId="35" fillId="21" borderId="3" xfId="0" applyFont="1" applyFill="1" applyBorder="1" applyAlignment="1">
      <alignment horizontal="left" vertical="center" wrapText="1"/>
    </xf>
    <xf numFmtId="0" fontId="35" fillId="21" borderId="4" xfId="0" applyFont="1" applyFill="1" applyBorder="1" applyAlignment="1">
      <alignment horizontal="left" vertical="center" wrapText="1"/>
    </xf>
    <xf numFmtId="0" fontId="32" fillId="3" borderId="2" xfId="0" applyFont="1" applyFill="1" applyBorder="1" applyAlignment="1">
      <alignment horizontal="center" vertical="center" wrapText="1"/>
    </xf>
    <xf numFmtId="0" fontId="32" fillId="3" borderId="3" xfId="0" applyFont="1" applyFill="1" applyBorder="1" applyAlignment="1">
      <alignment horizontal="center" vertical="center" wrapText="1"/>
    </xf>
    <xf numFmtId="0" fontId="32" fillId="3" borderId="4" xfId="0" applyFont="1" applyFill="1" applyBorder="1" applyAlignment="1">
      <alignment horizontal="center" vertical="center" wrapText="1"/>
    </xf>
    <xf numFmtId="0" fontId="32" fillId="3" borderId="2" xfId="0" applyFont="1" applyFill="1" applyBorder="1" applyAlignment="1">
      <alignment horizontal="left" wrapText="1"/>
    </xf>
    <xf numFmtId="0" fontId="32" fillId="3" borderId="3" xfId="0" applyFont="1" applyFill="1" applyBorder="1" applyAlignment="1">
      <alignment horizontal="left" wrapText="1"/>
    </xf>
    <xf numFmtId="0" fontId="32" fillId="3" borderId="2" xfId="0" applyFont="1" applyFill="1" applyBorder="1" applyAlignment="1">
      <alignment horizontal="center" wrapText="1"/>
    </xf>
    <xf numFmtId="0" fontId="32" fillId="3" borderId="3" xfId="0" applyFont="1" applyFill="1" applyBorder="1" applyAlignment="1">
      <alignment horizontal="center" wrapText="1"/>
    </xf>
    <xf numFmtId="0" fontId="32" fillId="3" borderId="4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left" wrapText="1"/>
    </xf>
    <xf numFmtId="0" fontId="9" fillId="3" borderId="3" xfId="0" applyFont="1" applyFill="1" applyBorder="1" applyAlignment="1">
      <alignment horizontal="left" wrapText="1"/>
    </xf>
    <xf numFmtId="0" fontId="9" fillId="3" borderId="3" xfId="0" applyFont="1" applyFill="1" applyBorder="1" applyAlignment="1">
      <alignment horizontal="center" wrapText="1"/>
    </xf>
    <xf numFmtId="0" fontId="36" fillId="21" borderId="2" xfId="0" applyFont="1" applyFill="1" applyBorder="1" applyAlignment="1">
      <alignment vertical="center" wrapText="1"/>
    </xf>
    <xf numFmtId="0" fontId="37" fillId="0" borderId="3" xfId="0" applyFont="1" applyBorder="1" applyAlignment="1">
      <alignment vertical="center" wrapText="1"/>
    </xf>
    <xf numFmtId="0" fontId="37" fillId="0" borderId="4" xfId="0" applyFont="1" applyBorder="1" applyAlignment="1">
      <alignment vertical="center" wrapText="1"/>
    </xf>
    <xf numFmtId="0" fontId="9" fillId="3" borderId="2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0" fillId="11" borderId="2" xfId="0" applyFont="1" applyFill="1" applyBorder="1" applyAlignment="1">
      <alignment horizontal="left" wrapText="1"/>
    </xf>
    <xf numFmtId="0" fontId="10" fillId="11" borderId="3" xfId="0" applyFont="1" applyFill="1" applyBorder="1" applyAlignment="1">
      <alignment horizontal="left" wrapText="1"/>
    </xf>
    <xf numFmtId="0" fontId="10" fillId="11" borderId="2" xfId="0" applyFont="1" applyFill="1" applyBorder="1" applyAlignment="1">
      <alignment horizontal="center" wrapText="1"/>
    </xf>
    <xf numFmtId="0" fontId="10" fillId="11" borderId="3" xfId="0" applyFont="1" applyFill="1" applyBorder="1" applyAlignment="1">
      <alignment horizontal="center" wrapText="1"/>
    </xf>
    <xf numFmtId="0" fontId="10" fillId="11" borderId="4" xfId="0" applyFont="1" applyFill="1" applyBorder="1" applyAlignment="1">
      <alignment horizontal="center" wrapText="1"/>
    </xf>
    <xf numFmtId="0" fontId="10" fillId="11" borderId="2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10" fillId="11" borderId="4" xfId="0" applyFont="1" applyFill="1" applyBorder="1" applyAlignment="1">
      <alignment horizontal="center" vertical="center" wrapText="1"/>
    </xf>
    <xf numFmtId="0" fontId="10" fillId="11" borderId="2" xfId="0" applyFont="1" applyFill="1" applyBorder="1" applyAlignment="1">
      <alignment horizontal="center"/>
    </xf>
    <xf numFmtId="0" fontId="16" fillId="26" borderId="2" xfId="0" applyFont="1" applyFill="1" applyBorder="1" applyAlignment="1">
      <alignment horizontal="center"/>
    </xf>
    <xf numFmtId="0" fontId="17" fillId="26" borderId="3" xfId="0" applyFont="1" applyFill="1" applyBorder="1" applyAlignment="1">
      <alignment horizontal="center"/>
    </xf>
    <xf numFmtId="0" fontId="17" fillId="26" borderId="4" xfId="0" applyFont="1" applyFill="1" applyBorder="1" applyAlignment="1">
      <alignment horizontal="center"/>
    </xf>
    <xf numFmtId="0" fontId="16" fillId="26" borderId="2" xfId="0" applyFont="1" applyFill="1" applyBorder="1" applyAlignment="1">
      <alignment horizontal="center" vertical="center" wrapText="1"/>
    </xf>
    <xf numFmtId="0" fontId="16" fillId="26" borderId="4" xfId="0" applyFont="1" applyFill="1" applyBorder="1" applyAlignment="1">
      <alignment horizontal="center" vertical="center" wrapText="1"/>
    </xf>
    <xf numFmtId="0" fontId="16" fillId="26" borderId="3" xfId="0" applyFont="1" applyFill="1" applyBorder="1" applyAlignment="1">
      <alignment horizontal="center" vertical="center" wrapText="1"/>
    </xf>
    <xf numFmtId="0" fontId="16" fillId="26" borderId="2" xfId="0" applyFont="1" applyFill="1" applyBorder="1" applyAlignment="1">
      <alignment horizontal="left" wrapText="1"/>
    </xf>
    <xf numFmtId="0" fontId="16" fillId="26" borderId="3" xfId="0" applyFont="1" applyFill="1" applyBorder="1" applyAlignment="1">
      <alignment horizontal="left" wrapText="1"/>
    </xf>
    <xf numFmtId="0" fontId="16" fillId="26" borderId="2" xfId="0" applyFont="1" applyFill="1" applyBorder="1" applyAlignment="1">
      <alignment horizontal="center" wrapText="1"/>
    </xf>
    <xf numFmtId="0" fontId="16" fillId="26" borderId="3" xfId="0" applyFont="1" applyFill="1" applyBorder="1" applyAlignment="1">
      <alignment horizontal="center" wrapText="1"/>
    </xf>
    <xf numFmtId="0" fontId="16" fillId="26" borderId="4" xfId="0" applyFont="1" applyFill="1" applyBorder="1" applyAlignment="1">
      <alignment horizontal="center" wrapText="1"/>
    </xf>
    <xf numFmtId="0" fontId="16" fillId="7" borderId="2" xfId="0" applyFont="1" applyFill="1" applyBorder="1" applyAlignment="1">
      <alignment horizontal="left" wrapText="1"/>
    </xf>
    <xf numFmtId="0" fontId="16" fillId="7" borderId="3" xfId="0" applyFont="1" applyFill="1" applyBorder="1" applyAlignment="1">
      <alignment horizontal="left" wrapText="1"/>
    </xf>
    <xf numFmtId="0" fontId="16" fillId="7" borderId="2" xfId="0" applyFont="1" applyFill="1" applyBorder="1" applyAlignment="1">
      <alignment horizontal="center" wrapText="1"/>
    </xf>
    <xf numFmtId="0" fontId="16" fillId="7" borderId="3" xfId="0" applyFont="1" applyFill="1" applyBorder="1" applyAlignment="1">
      <alignment horizontal="center" wrapText="1"/>
    </xf>
    <xf numFmtId="0" fontId="16" fillId="7" borderId="4" xfId="0" applyFont="1" applyFill="1" applyBorder="1" applyAlignment="1">
      <alignment horizontal="center" wrapText="1"/>
    </xf>
    <xf numFmtId="0" fontId="16" fillId="7" borderId="2" xfId="0" applyFont="1" applyFill="1" applyBorder="1" applyAlignment="1">
      <alignment horizontal="center" vertical="center" wrapText="1"/>
    </xf>
    <xf numFmtId="0" fontId="16" fillId="7" borderId="3" xfId="0" applyFont="1" applyFill="1" applyBorder="1" applyAlignment="1">
      <alignment horizontal="center" vertical="center" wrapText="1"/>
    </xf>
    <xf numFmtId="0" fontId="16" fillId="7" borderId="4" xfId="0" applyFont="1" applyFill="1" applyBorder="1" applyAlignment="1">
      <alignment horizontal="center" vertical="center" wrapText="1"/>
    </xf>
    <xf numFmtId="0" fontId="16" fillId="7" borderId="2" xfId="0" applyFont="1" applyFill="1" applyBorder="1" applyAlignment="1">
      <alignment horizontal="center"/>
    </xf>
    <xf numFmtId="0" fontId="16" fillId="14" borderId="2" xfId="0" applyFont="1" applyFill="1" applyBorder="1" applyAlignment="1">
      <alignment horizontal="center"/>
    </xf>
    <xf numFmtId="0" fontId="17" fillId="14" borderId="3" xfId="0" applyFont="1" applyFill="1" applyBorder="1" applyAlignment="1">
      <alignment horizontal="center"/>
    </xf>
    <xf numFmtId="0" fontId="17" fillId="14" borderId="4" xfId="0" applyFont="1" applyFill="1" applyBorder="1" applyAlignment="1">
      <alignment horizontal="center"/>
    </xf>
    <xf numFmtId="0" fontId="16" fillId="14" borderId="2" xfId="0" applyFont="1" applyFill="1" applyBorder="1" applyAlignment="1">
      <alignment horizontal="center" vertical="center" wrapText="1"/>
    </xf>
    <xf numFmtId="0" fontId="16" fillId="14" borderId="3" xfId="0" applyFont="1" applyFill="1" applyBorder="1" applyAlignment="1">
      <alignment horizontal="center" vertical="center" wrapText="1"/>
    </xf>
    <xf numFmtId="0" fontId="16" fillId="14" borderId="4" xfId="0" applyFont="1" applyFill="1" applyBorder="1" applyAlignment="1">
      <alignment horizontal="center" vertical="center" wrapText="1"/>
    </xf>
    <xf numFmtId="0" fontId="16" fillId="14" borderId="2" xfId="0" applyFont="1" applyFill="1" applyBorder="1" applyAlignment="1">
      <alignment horizontal="left" wrapText="1"/>
    </xf>
    <xf numFmtId="0" fontId="16" fillId="14" borderId="3" xfId="0" applyFont="1" applyFill="1" applyBorder="1" applyAlignment="1">
      <alignment horizontal="left" wrapText="1"/>
    </xf>
    <xf numFmtId="0" fontId="16" fillId="14" borderId="2" xfId="0" applyFont="1" applyFill="1" applyBorder="1" applyAlignment="1">
      <alignment horizontal="center" wrapText="1"/>
    </xf>
    <xf numFmtId="0" fontId="16" fillId="14" borderId="3" xfId="0" applyFont="1" applyFill="1" applyBorder="1" applyAlignment="1">
      <alignment horizontal="center" wrapText="1"/>
    </xf>
    <xf numFmtId="0" fontId="16" fillId="14" borderId="4" xfId="0" applyFont="1" applyFill="1" applyBorder="1" applyAlignment="1">
      <alignment horizontal="center" wrapText="1"/>
    </xf>
    <xf numFmtId="0" fontId="10" fillId="5" borderId="2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left" wrapText="1"/>
    </xf>
    <xf numFmtId="0" fontId="10" fillId="5" borderId="3" xfId="0" applyFont="1" applyFill="1" applyBorder="1" applyAlignment="1">
      <alignment horizontal="left" wrapText="1"/>
    </xf>
    <xf numFmtId="0" fontId="10" fillId="5" borderId="2" xfId="0" applyFont="1" applyFill="1" applyBorder="1" applyAlignment="1">
      <alignment horizontal="center" wrapText="1"/>
    </xf>
    <xf numFmtId="0" fontId="10" fillId="5" borderId="3" xfId="0" applyFont="1" applyFill="1" applyBorder="1" applyAlignment="1">
      <alignment horizontal="center" wrapText="1"/>
    </xf>
    <xf numFmtId="0" fontId="10" fillId="5" borderId="4" xfId="0" applyFont="1" applyFill="1" applyBorder="1" applyAlignment="1">
      <alignment horizontal="center" wrapText="1"/>
    </xf>
    <xf numFmtId="0" fontId="33" fillId="11" borderId="2" xfId="0" applyFont="1" applyFill="1" applyBorder="1" applyAlignment="1">
      <alignment horizontal="center"/>
    </xf>
    <xf numFmtId="0" fontId="33" fillId="11" borderId="2" xfId="0" applyFont="1" applyFill="1" applyBorder="1" applyAlignment="1">
      <alignment horizontal="center" vertical="center" wrapText="1"/>
    </xf>
    <xf numFmtId="0" fontId="33" fillId="11" borderId="3" xfId="0" applyFont="1" applyFill="1" applyBorder="1" applyAlignment="1">
      <alignment horizontal="center" vertical="center" wrapText="1"/>
    </xf>
    <xf numFmtId="0" fontId="33" fillId="11" borderId="4" xfId="0" applyFont="1" applyFill="1" applyBorder="1" applyAlignment="1">
      <alignment horizontal="center" vertical="center" wrapText="1"/>
    </xf>
    <xf numFmtId="0" fontId="33" fillId="11" borderId="2" xfId="0" applyFont="1" applyFill="1" applyBorder="1" applyAlignment="1">
      <alignment horizontal="left" wrapText="1"/>
    </xf>
    <xf numFmtId="0" fontId="33" fillId="11" borderId="3" xfId="0" applyFont="1" applyFill="1" applyBorder="1" applyAlignment="1">
      <alignment horizontal="left" wrapText="1"/>
    </xf>
    <xf numFmtId="0" fontId="33" fillId="11" borderId="2" xfId="0" applyFont="1" applyFill="1" applyBorder="1" applyAlignment="1">
      <alignment horizontal="center" wrapText="1"/>
    </xf>
    <xf numFmtId="0" fontId="33" fillId="11" borderId="3" xfId="0" applyFont="1" applyFill="1" applyBorder="1" applyAlignment="1">
      <alignment horizontal="center" wrapText="1"/>
    </xf>
    <xf numFmtId="0" fontId="33" fillId="11" borderId="4" xfId="0" applyFont="1" applyFill="1" applyBorder="1" applyAlignment="1">
      <alignment horizontal="center" wrapText="1"/>
    </xf>
    <xf numFmtId="0" fontId="24" fillId="6" borderId="2" xfId="0" applyFont="1" applyFill="1" applyBorder="1" applyAlignment="1">
      <alignment horizontal="left" wrapText="1"/>
    </xf>
    <xf numFmtId="0" fontId="24" fillId="6" borderId="3" xfId="0" applyFont="1" applyFill="1" applyBorder="1" applyAlignment="1">
      <alignment horizontal="left" wrapText="1"/>
    </xf>
    <xf numFmtId="0" fontId="24" fillId="6" borderId="2" xfId="0" applyFont="1" applyFill="1" applyBorder="1" applyAlignment="1">
      <alignment horizontal="center" wrapText="1"/>
    </xf>
    <xf numFmtId="0" fontId="24" fillId="6" borderId="3" xfId="0" applyFont="1" applyFill="1" applyBorder="1" applyAlignment="1">
      <alignment horizontal="center" wrapText="1"/>
    </xf>
    <xf numFmtId="0" fontId="24" fillId="6" borderId="4" xfId="0" applyFont="1" applyFill="1" applyBorder="1" applyAlignment="1">
      <alignment horizontal="center" wrapText="1"/>
    </xf>
    <xf numFmtId="0" fontId="24" fillId="6" borderId="2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4" xfId="0" applyFont="1" applyFill="1" applyBorder="1" applyAlignment="1">
      <alignment horizontal="center" vertical="center" wrapText="1"/>
    </xf>
    <xf numFmtId="0" fontId="26" fillId="6" borderId="16" xfId="0" applyFont="1" applyFill="1" applyBorder="1" applyAlignment="1">
      <alignment horizontal="center"/>
    </xf>
    <xf numFmtId="0" fontId="35" fillId="21" borderId="10" xfId="0" applyFont="1" applyFill="1" applyBorder="1" applyAlignment="1">
      <alignment horizontal="left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left" wrapText="1"/>
    </xf>
    <xf numFmtId="0" fontId="20" fillId="2" borderId="3" xfId="0" applyFont="1" applyFill="1" applyBorder="1" applyAlignment="1">
      <alignment horizontal="left" wrapText="1"/>
    </xf>
    <xf numFmtId="0" fontId="20" fillId="2" borderId="2" xfId="0" applyFont="1" applyFill="1" applyBorder="1" applyAlignment="1">
      <alignment horizontal="center" wrapText="1"/>
    </xf>
    <xf numFmtId="0" fontId="20" fillId="2" borderId="3" xfId="0" applyFont="1" applyFill="1" applyBorder="1" applyAlignment="1">
      <alignment horizontal="center" wrapText="1"/>
    </xf>
    <xf numFmtId="0" fontId="20" fillId="2" borderId="4" xfId="0" applyFont="1" applyFill="1" applyBorder="1" applyAlignment="1">
      <alignment horizontal="center" wrapText="1"/>
    </xf>
    <xf numFmtId="0" fontId="20" fillId="2" borderId="2" xfId="0" applyFont="1" applyFill="1" applyBorder="1" applyAlignment="1">
      <alignment horizontal="center"/>
    </xf>
    <xf numFmtId="0" fontId="44" fillId="4" borderId="2" xfId="0" applyFont="1" applyFill="1" applyBorder="1" applyAlignment="1">
      <alignment horizontal="center"/>
    </xf>
    <xf numFmtId="0" fontId="44" fillId="4" borderId="2" xfId="0" applyFont="1" applyFill="1" applyBorder="1" applyAlignment="1">
      <alignment horizontal="center" vertical="center" wrapText="1"/>
    </xf>
    <xf numFmtId="0" fontId="44" fillId="4" borderId="3" xfId="0" applyFont="1" applyFill="1" applyBorder="1" applyAlignment="1">
      <alignment horizontal="center" vertical="center" wrapText="1"/>
    </xf>
    <xf numFmtId="0" fontId="44" fillId="4" borderId="4" xfId="0" applyFont="1" applyFill="1" applyBorder="1" applyAlignment="1">
      <alignment horizontal="center" vertical="center" wrapText="1"/>
    </xf>
    <xf numFmtId="0" fontId="44" fillId="4" borderId="2" xfId="0" applyFont="1" applyFill="1" applyBorder="1" applyAlignment="1">
      <alignment horizontal="left" wrapText="1"/>
    </xf>
    <xf numFmtId="0" fontId="44" fillId="4" borderId="3" xfId="0" applyFont="1" applyFill="1" applyBorder="1" applyAlignment="1">
      <alignment horizontal="left" wrapText="1"/>
    </xf>
    <xf numFmtId="0" fontId="44" fillId="4" borderId="2" xfId="0" applyFont="1" applyFill="1" applyBorder="1" applyAlignment="1">
      <alignment horizontal="center" wrapText="1"/>
    </xf>
    <xf numFmtId="0" fontId="44" fillId="4" borderId="3" xfId="0" applyFont="1" applyFill="1" applyBorder="1" applyAlignment="1">
      <alignment horizontal="center" wrapText="1"/>
    </xf>
    <xf numFmtId="0" fontId="44" fillId="4" borderId="4" xfId="0" applyFont="1" applyFill="1" applyBorder="1" applyAlignment="1">
      <alignment horizontal="center" wrapText="1"/>
    </xf>
    <xf numFmtId="0" fontId="22" fillId="14" borderId="2" xfId="0" applyFont="1" applyFill="1" applyBorder="1" applyAlignment="1">
      <alignment horizontal="center"/>
    </xf>
    <xf numFmtId="0" fontId="36" fillId="21" borderId="2" xfId="0" applyFont="1" applyFill="1" applyBorder="1" applyAlignment="1">
      <alignment horizontal="left" vertical="center" wrapText="1"/>
    </xf>
    <xf numFmtId="0" fontId="36" fillId="21" borderId="3" xfId="0" applyFont="1" applyFill="1" applyBorder="1" applyAlignment="1">
      <alignment horizontal="left" vertical="center" wrapText="1"/>
    </xf>
    <xf numFmtId="0" fontId="36" fillId="21" borderId="4" xfId="0" applyFont="1" applyFill="1" applyBorder="1" applyAlignment="1">
      <alignment horizontal="left" vertical="center" wrapText="1"/>
    </xf>
    <xf numFmtId="0" fontId="22" fillId="14" borderId="2" xfId="0" applyFont="1" applyFill="1" applyBorder="1" applyAlignment="1">
      <alignment horizontal="center" vertical="center" wrapText="1"/>
    </xf>
    <xf numFmtId="0" fontId="22" fillId="14" borderId="3" xfId="0" applyFont="1" applyFill="1" applyBorder="1" applyAlignment="1">
      <alignment horizontal="center" vertical="center" wrapText="1"/>
    </xf>
    <xf numFmtId="0" fontId="22" fillId="14" borderId="4" xfId="0" applyFont="1" applyFill="1" applyBorder="1" applyAlignment="1">
      <alignment horizontal="center" vertical="center" wrapText="1"/>
    </xf>
    <xf numFmtId="0" fontId="22" fillId="14" borderId="2" xfId="0" applyFont="1" applyFill="1" applyBorder="1" applyAlignment="1">
      <alignment horizontal="left" wrapText="1"/>
    </xf>
    <xf numFmtId="0" fontId="22" fillId="14" borderId="3" xfId="0" applyFont="1" applyFill="1" applyBorder="1" applyAlignment="1">
      <alignment horizontal="left" wrapText="1"/>
    </xf>
    <xf numFmtId="0" fontId="22" fillId="14" borderId="2" xfId="0" applyFont="1" applyFill="1" applyBorder="1" applyAlignment="1">
      <alignment horizontal="center" wrapText="1"/>
    </xf>
    <xf numFmtId="0" fontId="22" fillId="14" borderId="3" xfId="0" applyFont="1" applyFill="1" applyBorder="1" applyAlignment="1">
      <alignment horizontal="center" wrapText="1"/>
    </xf>
    <xf numFmtId="0" fontId="22" fillId="14" borderId="4" xfId="0" applyFont="1" applyFill="1" applyBorder="1" applyAlignment="1">
      <alignment horizontal="center" wrapText="1"/>
    </xf>
    <xf numFmtId="0" fontId="16" fillId="11" borderId="2" xfId="0" applyFont="1" applyFill="1" applyBorder="1" applyAlignment="1">
      <alignment horizontal="left" wrapText="1"/>
    </xf>
    <xf numFmtId="0" fontId="16" fillId="11" borderId="3" xfId="0" applyFont="1" applyFill="1" applyBorder="1" applyAlignment="1">
      <alignment horizontal="left" wrapText="1"/>
    </xf>
    <xf numFmtId="0" fontId="16" fillId="11" borderId="2" xfId="0" applyFont="1" applyFill="1" applyBorder="1" applyAlignment="1">
      <alignment horizontal="center" wrapText="1"/>
    </xf>
    <xf numFmtId="0" fontId="16" fillId="11" borderId="3" xfId="0" applyFont="1" applyFill="1" applyBorder="1" applyAlignment="1">
      <alignment horizontal="center" wrapText="1"/>
    </xf>
    <xf numFmtId="0" fontId="16" fillId="11" borderId="4" xfId="0" applyFont="1" applyFill="1" applyBorder="1" applyAlignment="1">
      <alignment horizontal="center" wrapText="1"/>
    </xf>
    <xf numFmtId="0" fontId="16" fillId="11" borderId="2" xfId="0" applyFont="1" applyFill="1" applyBorder="1" applyAlignment="1">
      <alignment horizontal="center"/>
    </xf>
    <xf numFmtId="0" fontId="16" fillId="11" borderId="2" xfId="0" applyFont="1" applyFill="1" applyBorder="1" applyAlignment="1">
      <alignment horizontal="center" vertical="center" wrapText="1"/>
    </xf>
    <xf numFmtId="0" fontId="16" fillId="11" borderId="3" xfId="0" applyFont="1" applyFill="1" applyBorder="1" applyAlignment="1">
      <alignment horizontal="center" vertical="center" wrapText="1"/>
    </xf>
    <xf numFmtId="0" fontId="16" fillId="11" borderId="4" xfId="0" applyFont="1" applyFill="1" applyBorder="1" applyAlignment="1">
      <alignment horizontal="center" vertical="center" wrapText="1"/>
    </xf>
    <xf numFmtId="0" fontId="16" fillId="12" borderId="2" xfId="0" applyFont="1" applyFill="1" applyBorder="1" applyAlignment="1">
      <alignment horizontal="left" wrapText="1"/>
    </xf>
    <xf numFmtId="0" fontId="16" fillId="12" borderId="3" xfId="0" applyFont="1" applyFill="1" applyBorder="1" applyAlignment="1">
      <alignment horizontal="left" wrapText="1"/>
    </xf>
    <xf numFmtId="0" fontId="16" fillId="12" borderId="2" xfId="0" applyFont="1" applyFill="1" applyBorder="1" applyAlignment="1">
      <alignment horizontal="center" wrapText="1"/>
    </xf>
    <xf numFmtId="0" fontId="16" fillId="12" borderId="3" xfId="0" applyFont="1" applyFill="1" applyBorder="1" applyAlignment="1">
      <alignment horizontal="center" wrapText="1"/>
    </xf>
    <xf numFmtId="0" fontId="16" fillId="12" borderId="4" xfId="0" applyFont="1" applyFill="1" applyBorder="1" applyAlignment="1">
      <alignment horizontal="center" wrapText="1"/>
    </xf>
    <xf numFmtId="0" fontId="16" fillId="12" borderId="2" xfId="0" applyFont="1" applyFill="1" applyBorder="1" applyAlignment="1">
      <alignment horizontal="center" vertical="center" wrapText="1"/>
    </xf>
    <xf numFmtId="0" fontId="16" fillId="12" borderId="3" xfId="0" applyFont="1" applyFill="1" applyBorder="1" applyAlignment="1">
      <alignment horizontal="center" vertical="center" wrapText="1"/>
    </xf>
    <xf numFmtId="0" fontId="16" fillId="12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6" fillId="12" borderId="2" xfId="0" applyFont="1" applyFill="1" applyBorder="1" applyAlignment="1">
      <alignment horizontal="center"/>
    </xf>
    <xf numFmtId="0" fontId="16" fillId="4" borderId="2" xfId="0" applyFont="1" applyFill="1" applyBorder="1" applyAlignment="1">
      <alignment horizontal="center"/>
    </xf>
    <xf numFmtId="0" fontId="17" fillId="4" borderId="3" xfId="0" applyFont="1" applyFill="1" applyBorder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36" fillId="21" borderId="10" xfId="0" applyFont="1" applyFill="1" applyBorder="1" applyAlignment="1">
      <alignment horizontal="left" vertical="center" wrapText="1"/>
    </xf>
    <xf numFmtId="0" fontId="36" fillId="21" borderId="16" xfId="0" applyFont="1" applyFill="1" applyBorder="1" applyAlignment="1">
      <alignment horizontal="left" vertical="center" wrapText="1"/>
    </xf>
    <xf numFmtId="0" fontId="36" fillId="21" borderId="6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left" wrapText="1"/>
    </xf>
    <xf numFmtId="0" fontId="16" fillId="4" borderId="3" xfId="0" applyFont="1" applyFill="1" applyBorder="1" applyAlignment="1">
      <alignment horizontal="left" wrapText="1"/>
    </xf>
    <xf numFmtId="0" fontId="16" fillId="4" borderId="2" xfId="0" applyFont="1" applyFill="1" applyBorder="1" applyAlignment="1">
      <alignment horizontal="center" wrapText="1"/>
    </xf>
    <xf numFmtId="0" fontId="16" fillId="4" borderId="3" xfId="0" applyFont="1" applyFill="1" applyBorder="1" applyAlignment="1">
      <alignment horizontal="center" wrapText="1"/>
    </xf>
    <xf numFmtId="0" fontId="16" fillId="4" borderId="4" xfId="0" applyFont="1" applyFill="1" applyBorder="1" applyAlignment="1">
      <alignment horizontal="center" wrapText="1"/>
    </xf>
    <xf numFmtId="16" fontId="12" fillId="3" borderId="0" xfId="0" applyNumberFormat="1" applyFont="1" applyFill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1" fillId="4" borderId="2" xfId="0" applyFont="1" applyFill="1" applyBorder="1" applyAlignment="1">
      <alignment horizontal="left" wrapText="1"/>
    </xf>
    <xf numFmtId="0" fontId="21" fillId="4" borderId="3" xfId="0" applyFont="1" applyFill="1" applyBorder="1" applyAlignment="1">
      <alignment horizontal="left" wrapText="1"/>
    </xf>
    <xf numFmtId="0" fontId="21" fillId="4" borderId="2" xfId="0" applyFont="1" applyFill="1" applyBorder="1" applyAlignment="1">
      <alignment horizontal="center" wrapText="1"/>
    </xf>
    <xf numFmtId="0" fontId="21" fillId="4" borderId="3" xfId="0" applyFont="1" applyFill="1" applyBorder="1" applyAlignment="1">
      <alignment horizontal="center" wrapText="1"/>
    </xf>
    <xf numFmtId="0" fontId="21" fillId="4" borderId="4" xfId="0" applyFont="1" applyFill="1" applyBorder="1" applyAlignment="1">
      <alignment horizontal="center" wrapText="1"/>
    </xf>
    <xf numFmtId="0" fontId="21" fillId="4" borderId="2" xfId="0" applyFont="1" applyFill="1" applyBorder="1" applyAlignment="1">
      <alignment horizontal="center" vertical="center" wrapText="1"/>
    </xf>
    <xf numFmtId="0" fontId="21" fillId="4" borderId="3" xfId="0" applyFont="1" applyFill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/>
    </xf>
    <xf numFmtId="0" fontId="21" fillId="4" borderId="16" xfId="0" applyFont="1" applyFill="1" applyBorder="1" applyAlignment="1">
      <alignment horizontal="center"/>
    </xf>
    <xf numFmtId="0" fontId="12" fillId="13" borderId="2" xfId="0" applyFont="1" applyFill="1" applyBorder="1" applyAlignment="1">
      <alignment horizontal="left" wrapText="1"/>
    </xf>
    <xf numFmtId="0" fontId="12" fillId="13" borderId="3" xfId="0" applyFont="1" applyFill="1" applyBorder="1" applyAlignment="1">
      <alignment horizontal="left" wrapText="1"/>
    </xf>
    <xf numFmtId="0" fontId="12" fillId="13" borderId="2" xfId="0" applyFont="1" applyFill="1" applyBorder="1" applyAlignment="1">
      <alignment horizontal="center" wrapText="1"/>
    </xf>
    <xf numFmtId="0" fontId="12" fillId="13" borderId="3" xfId="0" applyFont="1" applyFill="1" applyBorder="1" applyAlignment="1">
      <alignment horizontal="center" wrapText="1"/>
    </xf>
    <xf numFmtId="0" fontId="12" fillId="13" borderId="4" xfId="0" applyFont="1" applyFill="1" applyBorder="1" applyAlignment="1">
      <alignment horizontal="center" wrapText="1"/>
    </xf>
    <xf numFmtId="0" fontId="12" fillId="13" borderId="2" xfId="0" applyFont="1" applyFill="1" applyBorder="1" applyAlignment="1">
      <alignment horizontal="center" vertical="center" wrapText="1"/>
    </xf>
    <xf numFmtId="0" fontId="12" fillId="13" borderId="3" xfId="0" applyFont="1" applyFill="1" applyBorder="1" applyAlignment="1">
      <alignment horizontal="center" vertical="center" wrapText="1"/>
    </xf>
    <xf numFmtId="0" fontId="12" fillId="13" borderId="4" xfId="0" applyFont="1" applyFill="1" applyBorder="1" applyAlignment="1">
      <alignment horizontal="center" vertical="center" wrapText="1"/>
    </xf>
    <xf numFmtId="0" fontId="12" fillId="13" borderId="2" xfId="0" applyFont="1" applyFill="1" applyBorder="1" applyAlignment="1">
      <alignment horizontal="center"/>
    </xf>
    <xf numFmtId="0" fontId="9" fillId="0" borderId="0" xfId="0" applyFont="1"/>
    <xf numFmtId="0" fontId="38" fillId="21" borderId="2" xfId="0" applyFont="1" applyFill="1" applyBorder="1" applyAlignment="1">
      <alignment horizontal="left" vertical="center" wrapText="1"/>
    </xf>
    <xf numFmtId="0" fontId="38" fillId="21" borderId="3" xfId="0" applyFont="1" applyFill="1" applyBorder="1" applyAlignment="1">
      <alignment horizontal="left" vertical="center" wrapText="1"/>
    </xf>
    <xf numFmtId="0" fontId="38" fillId="21" borderId="4" xfId="0" applyFont="1" applyFill="1" applyBorder="1" applyAlignment="1">
      <alignment horizontal="left" vertical="center" wrapText="1"/>
    </xf>
    <xf numFmtId="0" fontId="16" fillId="6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2F2F2"/>
      <color rgb="FFA03A7C"/>
      <color rgb="FFFFCC00"/>
      <color rgb="FF000000"/>
      <color rgb="FFCC3399"/>
      <color rgb="FF990099"/>
      <color rgb="FFFF3300"/>
      <color rgb="FFB43634"/>
      <color rgb="FFFF4B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2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e%20Hill/Documents/BT%20PREMIERSHIP/Season%202018-19/Prem%2018-19%20Results%20&amp;%20Tab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e%20Hill/Documents/BT%20PREMIERSHIP/2016-17%20Season/Prem%20Club%20by%20Club%20Results%20&amp;%20Tables%202016-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T%20PREMIERSHIP/2015-16%20Season/Prem%20Club%20by%20Club%20Results%20&amp;%20Tables%202015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"/>
      <sheetName val="Yr-By-Yr"/>
      <sheetName val="18-19 Sum"/>
      <sheetName val="Cards"/>
      <sheetName val="Stats"/>
      <sheetName val="Form"/>
      <sheetName val="Table"/>
      <sheetName val="Results"/>
      <sheetName val="BTH"/>
      <sheetName val="BRI"/>
      <sheetName val="EXE"/>
      <sheetName val="GLO"/>
      <sheetName val="HAR"/>
      <sheetName val="LEIC"/>
      <sheetName val="NEW"/>
      <sheetName val="NOR"/>
      <sheetName val="SAL"/>
      <sheetName val="SAR"/>
      <sheetName val="WAS"/>
      <sheetName val="WOR"/>
    </sheetNames>
    <sheetDataSet>
      <sheetData sheetId="0">
        <row r="3">
          <cell r="B3">
            <v>494</v>
          </cell>
          <cell r="C3">
            <v>275</v>
          </cell>
          <cell r="D3">
            <v>212</v>
          </cell>
          <cell r="E3">
            <v>19</v>
          </cell>
          <cell r="G3">
            <v>11071</v>
          </cell>
          <cell r="H3">
            <v>9789</v>
          </cell>
          <cell r="J3">
            <v>1121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37">
          <cell r="F37">
            <v>481</v>
          </cell>
          <cell r="G37">
            <v>480</v>
          </cell>
          <cell r="J37">
            <v>52</v>
          </cell>
          <cell r="L37">
            <v>2</v>
          </cell>
          <cell r="N37">
            <v>11</v>
          </cell>
          <cell r="O37">
            <v>1</v>
          </cell>
          <cell r="R37">
            <v>54</v>
          </cell>
          <cell r="Y37">
            <v>22</v>
          </cell>
          <cell r="AB37">
            <v>10</v>
          </cell>
        </row>
      </sheetData>
      <sheetData sheetId="9">
        <row r="36">
          <cell r="H36">
            <v>6</v>
          </cell>
          <cell r="L36">
            <v>0</v>
          </cell>
          <cell r="P36">
            <v>10</v>
          </cell>
        </row>
        <row r="38">
          <cell r="F38">
            <v>503</v>
          </cell>
          <cell r="G38">
            <v>580</v>
          </cell>
          <cell r="J38">
            <v>55</v>
          </cell>
          <cell r="L38">
            <v>0</v>
          </cell>
          <cell r="N38">
            <v>7</v>
          </cell>
          <cell r="O38">
            <v>1</v>
          </cell>
          <cell r="R38">
            <v>74</v>
          </cell>
          <cell r="Y38">
            <v>22</v>
          </cell>
          <cell r="Z38">
            <v>9</v>
          </cell>
          <cell r="AA38">
            <v>1</v>
          </cell>
          <cell r="AB38">
            <v>12</v>
          </cell>
        </row>
      </sheetData>
      <sheetData sheetId="10">
        <row r="37">
          <cell r="H37">
            <v>14</v>
          </cell>
          <cell r="P37">
            <v>6</v>
          </cell>
          <cell r="AA37">
            <v>0</v>
          </cell>
        </row>
        <row r="39">
          <cell r="F39">
            <v>706</v>
          </cell>
          <cell r="G39">
            <v>487</v>
          </cell>
          <cell r="J39">
            <v>100</v>
          </cell>
          <cell r="L39">
            <v>0</v>
          </cell>
          <cell r="N39">
            <v>8</v>
          </cell>
          <cell r="O39">
            <v>0</v>
          </cell>
          <cell r="R39">
            <v>58</v>
          </cell>
          <cell r="Y39">
            <v>24</v>
          </cell>
          <cell r="Z39">
            <v>18</v>
          </cell>
          <cell r="AB39">
            <v>6</v>
          </cell>
        </row>
      </sheetData>
      <sheetData sheetId="11">
        <row r="36">
          <cell r="H36">
            <v>10</v>
          </cell>
          <cell r="P36">
            <v>6</v>
          </cell>
        </row>
        <row r="38">
          <cell r="F38">
            <v>606</v>
          </cell>
          <cell r="G38">
            <v>559</v>
          </cell>
          <cell r="J38">
            <v>78</v>
          </cell>
          <cell r="L38">
            <v>0</v>
          </cell>
          <cell r="N38">
            <v>8</v>
          </cell>
          <cell r="O38">
            <v>0</v>
          </cell>
          <cell r="R38">
            <v>66</v>
          </cell>
          <cell r="Y38">
            <v>23</v>
          </cell>
          <cell r="Z38">
            <v>13</v>
          </cell>
          <cell r="AA38">
            <v>1</v>
          </cell>
          <cell r="AB38">
            <v>9</v>
          </cell>
        </row>
      </sheetData>
      <sheetData sheetId="12">
        <row r="37">
          <cell r="H37">
            <v>7</v>
          </cell>
          <cell r="P37">
            <v>6</v>
          </cell>
        </row>
        <row r="39">
          <cell r="F39">
            <v>544</v>
          </cell>
          <cell r="G39">
            <v>528</v>
          </cell>
          <cell r="J39">
            <v>63</v>
          </cell>
          <cell r="L39">
            <v>0</v>
          </cell>
          <cell r="N39">
            <v>13</v>
          </cell>
          <cell r="O39">
            <v>0</v>
          </cell>
          <cell r="R39">
            <v>56</v>
          </cell>
          <cell r="Y39">
            <v>22</v>
          </cell>
          <cell r="Z39">
            <v>10</v>
          </cell>
          <cell r="AA39">
            <v>0</v>
          </cell>
          <cell r="AB39">
            <v>12</v>
          </cell>
        </row>
      </sheetData>
      <sheetData sheetId="13">
        <row r="35">
          <cell r="H35">
            <v>5</v>
          </cell>
          <cell r="P35">
            <v>10</v>
          </cell>
        </row>
        <row r="37">
          <cell r="F37">
            <v>478</v>
          </cell>
          <cell r="G37">
            <v>632</v>
          </cell>
          <cell r="J37">
            <v>47</v>
          </cell>
          <cell r="L37">
            <v>0</v>
          </cell>
          <cell r="N37">
            <v>7</v>
          </cell>
          <cell r="O37">
            <v>4</v>
          </cell>
          <cell r="R37">
            <v>81</v>
          </cell>
          <cell r="Y37">
            <v>22</v>
          </cell>
          <cell r="Z37">
            <v>7</v>
          </cell>
          <cell r="AA37">
            <v>0</v>
          </cell>
          <cell r="AB37">
            <v>15</v>
          </cell>
        </row>
      </sheetData>
      <sheetData sheetId="14">
        <row r="36">
          <cell r="H36">
            <v>1</v>
          </cell>
          <cell r="P36">
            <v>9</v>
          </cell>
          <cell r="AA36">
            <v>0</v>
          </cell>
        </row>
        <row r="38">
          <cell r="F38">
            <v>395</v>
          </cell>
          <cell r="G38">
            <v>541</v>
          </cell>
          <cell r="J38">
            <v>43</v>
          </cell>
          <cell r="L38">
            <v>0</v>
          </cell>
          <cell r="N38">
            <v>9</v>
          </cell>
          <cell r="O38">
            <v>0</v>
          </cell>
          <cell r="R38">
            <v>66</v>
          </cell>
          <cell r="Y38">
            <v>22</v>
          </cell>
          <cell r="Z38">
            <v>6</v>
          </cell>
          <cell r="AB38">
            <v>16</v>
          </cell>
        </row>
      </sheetData>
      <sheetData sheetId="15">
        <row r="40">
          <cell r="H40">
            <v>8</v>
          </cell>
          <cell r="P40">
            <v>7</v>
          </cell>
        </row>
        <row r="42">
          <cell r="F42">
            <v>602</v>
          </cell>
          <cell r="G42">
            <v>563</v>
          </cell>
          <cell r="J42">
            <v>75</v>
          </cell>
          <cell r="L42">
            <v>0</v>
          </cell>
          <cell r="R42">
            <v>68</v>
          </cell>
          <cell r="Y42">
            <v>23</v>
          </cell>
          <cell r="Z42">
            <v>11</v>
          </cell>
          <cell r="AA42">
            <v>0</v>
          </cell>
          <cell r="AB42">
            <v>12</v>
          </cell>
        </row>
      </sheetData>
      <sheetData sheetId="16">
        <row r="37">
          <cell r="F37">
            <v>462</v>
          </cell>
          <cell r="G37">
            <v>504</v>
          </cell>
          <cell r="H37">
            <v>3</v>
          </cell>
          <cell r="P37">
            <v>7</v>
          </cell>
        </row>
        <row r="39">
          <cell r="J39">
            <v>52</v>
          </cell>
          <cell r="L39">
            <v>0</v>
          </cell>
          <cell r="N39">
            <v>6</v>
          </cell>
          <cell r="O39">
            <v>0</v>
          </cell>
          <cell r="R39">
            <v>62</v>
          </cell>
          <cell r="Y39">
            <v>22</v>
          </cell>
          <cell r="Z39">
            <v>11</v>
          </cell>
          <cell r="AA39">
            <v>2</v>
          </cell>
          <cell r="AB39">
            <v>9</v>
          </cell>
        </row>
      </sheetData>
      <sheetData sheetId="17">
        <row r="42">
          <cell r="H42">
            <v>10</v>
          </cell>
          <cell r="P42">
            <v>2</v>
          </cell>
        </row>
        <row r="44">
          <cell r="F44">
            <v>725</v>
          </cell>
          <cell r="G44">
            <v>493</v>
          </cell>
          <cell r="J44">
            <v>88</v>
          </cell>
          <cell r="L44">
            <v>0</v>
          </cell>
          <cell r="N44">
            <v>18</v>
          </cell>
          <cell r="O44">
            <v>0</v>
          </cell>
          <cell r="R44">
            <v>52</v>
          </cell>
          <cell r="Y44">
            <v>24</v>
          </cell>
          <cell r="Z44">
            <v>18</v>
          </cell>
          <cell r="AA44">
            <v>0</v>
          </cell>
          <cell r="AB44">
            <v>6</v>
          </cell>
        </row>
      </sheetData>
      <sheetData sheetId="18">
        <row r="35">
          <cell r="H35">
            <v>7</v>
          </cell>
          <cell r="P35">
            <v>6</v>
          </cell>
        </row>
        <row r="37">
          <cell r="F37">
            <v>483</v>
          </cell>
          <cell r="G37">
            <v>552</v>
          </cell>
          <cell r="J37">
            <v>56</v>
          </cell>
          <cell r="L37">
            <v>0</v>
          </cell>
          <cell r="N37">
            <v>8</v>
          </cell>
          <cell r="O37">
            <v>0</v>
          </cell>
          <cell r="R37">
            <v>62</v>
          </cell>
          <cell r="Y37">
            <v>22</v>
          </cell>
          <cell r="Z37">
            <v>10</v>
          </cell>
          <cell r="AA37">
            <v>0</v>
          </cell>
          <cell r="AB37">
            <v>12</v>
          </cell>
        </row>
      </sheetData>
      <sheetData sheetId="19">
        <row r="37">
          <cell r="H37">
            <v>6</v>
          </cell>
          <cell r="P37">
            <v>7</v>
          </cell>
        </row>
        <row r="39">
          <cell r="F39">
            <v>491</v>
          </cell>
          <cell r="G39">
            <v>557</v>
          </cell>
          <cell r="J39">
            <v>56</v>
          </cell>
          <cell r="L39">
            <v>0</v>
          </cell>
          <cell r="N39">
            <v>8</v>
          </cell>
          <cell r="O39">
            <v>1</v>
          </cell>
          <cell r="R39">
            <v>66</v>
          </cell>
          <cell r="Y39">
            <v>22</v>
          </cell>
          <cell r="Z39">
            <v>9</v>
          </cell>
          <cell r="AA39">
            <v>0</v>
          </cell>
          <cell r="AB39">
            <v>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"/>
      <sheetName val="Yr-By-Yr"/>
      <sheetName val="Cards"/>
      <sheetName val="Stats"/>
      <sheetName val="Form"/>
      <sheetName val="Table"/>
      <sheetName val="Results"/>
      <sheetName val="BTH"/>
      <sheetName val="BRI"/>
      <sheetName val="EXE"/>
      <sheetName val="GLO"/>
      <sheetName val="HAR"/>
      <sheetName val="LEIC"/>
      <sheetName val="NEW"/>
      <sheetName val="NOR"/>
      <sheetName val="SAL"/>
      <sheetName val="SAR"/>
      <sheetName val="WAS"/>
      <sheetName val="W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5">
          <cell r="N35">
            <v>10</v>
          </cell>
          <cell r="O35">
            <v>1</v>
          </cell>
        </row>
      </sheetData>
      <sheetData sheetId="9">
        <row r="39">
          <cell r="N39">
            <v>5</v>
          </cell>
          <cell r="O39">
            <v>2</v>
          </cell>
        </row>
      </sheetData>
      <sheetData sheetId="10">
        <row r="40">
          <cell r="N40">
            <v>2</v>
          </cell>
          <cell r="O40">
            <v>0</v>
          </cell>
        </row>
      </sheetData>
      <sheetData sheetId="11"/>
      <sheetData sheetId="12">
        <row r="39">
          <cell r="N39">
            <v>12</v>
          </cell>
          <cell r="O39">
            <v>0</v>
          </cell>
        </row>
      </sheetData>
      <sheetData sheetId="13">
        <row r="37">
          <cell r="N37">
            <v>13</v>
          </cell>
          <cell r="O37">
            <v>1</v>
          </cell>
        </row>
      </sheetData>
      <sheetData sheetId="14">
        <row r="37">
          <cell r="N37">
            <v>10</v>
          </cell>
          <cell r="O37">
            <v>2</v>
          </cell>
        </row>
      </sheetData>
      <sheetData sheetId="15"/>
      <sheetData sheetId="16">
        <row r="42">
          <cell r="N42">
            <v>0</v>
          </cell>
          <cell r="O42">
            <v>0</v>
          </cell>
        </row>
      </sheetData>
      <sheetData sheetId="17">
        <row r="40">
          <cell r="N40">
            <v>3</v>
          </cell>
          <cell r="O40">
            <v>0</v>
          </cell>
        </row>
      </sheetData>
      <sheetData sheetId="18">
        <row r="35">
          <cell r="N35">
            <v>9</v>
          </cell>
          <cell r="O35">
            <v>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Yr-By-Yr"/>
      <sheetName val="Cards"/>
      <sheetName val="Team Stats"/>
      <sheetName val="Form"/>
      <sheetName val="Table"/>
      <sheetName val="Results"/>
      <sheetName val="BTH"/>
      <sheetName val="EXE"/>
      <sheetName val="GLO"/>
      <sheetName val="HAR"/>
      <sheetName val="LEI"/>
      <sheetName val="LIR"/>
      <sheetName val="NEW"/>
      <sheetName val="NOR"/>
      <sheetName val="SAL"/>
      <sheetName val="SAR"/>
      <sheetName val="WAS"/>
      <sheetName val="W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6">
          <cell r="AB36">
            <v>1</v>
          </cell>
        </row>
      </sheetData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92AC4-5D7B-4914-8AFA-668E28E7E64F}">
  <dimension ref="A1:N75"/>
  <sheetViews>
    <sheetView topLeftCell="A66" workbookViewId="0">
      <selection activeCell="J66" sqref="J66:N74"/>
    </sheetView>
  </sheetViews>
  <sheetFormatPr defaultRowHeight="14.3" x14ac:dyDescent="0.25"/>
  <cols>
    <col min="1" max="1" width="12.5" bestFit="1" customWidth="1"/>
    <col min="10" max="10" width="12.625" bestFit="1" customWidth="1"/>
  </cols>
  <sheetData>
    <row r="1" spans="1:9" x14ac:dyDescent="0.25">
      <c r="A1" s="372" t="s">
        <v>178</v>
      </c>
      <c r="B1" s="373"/>
      <c r="C1" s="373"/>
      <c r="D1" s="373"/>
      <c r="E1" s="373"/>
      <c r="F1" s="373"/>
      <c r="G1" s="373"/>
      <c r="H1" s="373"/>
      <c r="I1" s="373"/>
    </row>
    <row r="2" spans="1:9" x14ac:dyDescent="0.25">
      <c r="A2" s="374"/>
      <c r="B2" s="375" t="s">
        <v>132</v>
      </c>
      <c r="C2" s="375" t="s">
        <v>133</v>
      </c>
      <c r="D2" s="375" t="s">
        <v>134</v>
      </c>
      <c r="E2" s="375" t="s">
        <v>139</v>
      </c>
      <c r="F2" s="375" t="s">
        <v>135</v>
      </c>
      <c r="G2" s="375" t="s">
        <v>136</v>
      </c>
      <c r="H2" s="375" t="s">
        <v>137</v>
      </c>
      <c r="I2" s="375" t="s">
        <v>138</v>
      </c>
    </row>
    <row r="3" spans="1:9" x14ac:dyDescent="0.25">
      <c r="A3" s="376" t="s">
        <v>37</v>
      </c>
      <c r="B3" s="377">
        <f>465+arg2019played</f>
        <v>477</v>
      </c>
      <c r="C3" s="377">
        <f>233+arg2019won</f>
        <v>238</v>
      </c>
      <c r="D3" s="377">
        <f>219+arg2019lost</f>
        <v>226</v>
      </c>
      <c r="E3" s="377">
        <f>13+arg2019drawn</f>
        <v>13</v>
      </c>
      <c r="F3" s="378">
        <f t="shared" ref="F3:F23" si="0">SUM(C3+E3*0.5)/B3</f>
        <v>0.51257861635220126</v>
      </c>
      <c r="G3" s="377">
        <f>12964+arg2019ptsscored</f>
        <v>13245</v>
      </c>
      <c r="H3" s="377">
        <f>9608+arg2019ptsconc</f>
        <v>9990</v>
      </c>
      <c r="I3" s="376">
        <f>1617+arg2019triesscored</f>
        <v>1646</v>
      </c>
    </row>
    <row r="4" spans="1:9" x14ac:dyDescent="0.25">
      <c r="A4" s="376" t="s">
        <v>29</v>
      </c>
      <c r="B4" s="377">
        <f>661+australiaalltests2019playedcorrect</f>
        <v>675</v>
      </c>
      <c r="C4" s="377">
        <f>334+australiaalltests2019won</f>
        <v>339</v>
      </c>
      <c r="D4" s="377">
        <f>305+australiaalltests2019lost</f>
        <v>314</v>
      </c>
      <c r="E4" s="377">
        <f>22+australiaalltests2019drawn</f>
        <v>22</v>
      </c>
      <c r="F4" s="378">
        <f t="shared" si="0"/>
        <v>0.51851851851851849</v>
      </c>
      <c r="G4" s="377">
        <f>13978+australiaalltests2019ptsscored</f>
        <v>14305</v>
      </c>
      <c r="H4" s="377">
        <f>11854+australiaalltests2019ptsagainst</f>
        <v>12242</v>
      </c>
      <c r="I4" s="377">
        <f>1736+australiaalltests2019triesscored</f>
        <v>1773</v>
      </c>
    </row>
    <row r="5" spans="1:9" x14ac:dyDescent="0.25">
      <c r="A5" s="376" t="s">
        <v>40</v>
      </c>
      <c r="B5" s="377">
        <f>285+can2019alltestsplayed</f>
        <v>289</v>
      </c>
      <c r="C5" s="377">
        <f>110+can2019alltestswon</f>
        <v>112</v>
      </c>
      <c r="D5" s="377">
        <f>169+can2019alltestslost</f>
        <v>171</v>
      </c>
      <c r="E5" s="377">
        <f>6+can2019alltestsdrawn</f>
        <v>6</v>
      </c>
      <c r="F5" s="378">
        <f t="shared" si="0"/>
        <v>0.39792387543252594</v>
      </c>
      <c r="G5" s="377">
        <f>5932+can2019alltestsptsscored</f>
        <v>6085</v>
      </c>
      <c r="H5" s="377">
        <f>7500+can2019alltestsptsagainst</f>
        <v>7625</v>
      </c>
      <c r="I5" s="377">
        <f>632+can2019allteststriesscored</f>
        <v>650</v>
      </c>
    </row>
    <row r="6" spans="1:9" x14ac:dyDescent="0.25">
      <c r="A6" s="376" t="s">
        <v>30</v>
      </c>
      <c r="B6" s="377">
        <f>761+Eng2019alltestsplayed</f>
        <v>773</v>
      </c>
      <c r="C6" s="377">
        <f>426+Eng2019alltestswon</f>
        <v>431</v>
      </c>
      <c r="D6" s="377">
        <f>284+Eng2019alltestslost</f>
        <v>290</v>
      </c>
      <c r="E6" s="377">
        <f>51+Eng2019alltestsdrawn</f>
        <v>52</v>
      </c>
      <c r="F6" s="378">
        <f t="shared" si="0"/>
        <v>0.59120310478654592</v>
      </c>
      <c r="G6" s="377">
        <f>13535+Eng2019alltestsptsscored</f>
        <v>13829</v>
      </c>
      <c r="H6" s="377">
        <f>9815+Eng2019alltestsptsagainst</f>
        <v>10060</v>
      </c>
      <c r="I6" s="376">
        <f>1755+Eng2019allteststriesscored</f>
        <v>1782</v>
      </c>
    </row>
    <row r="7" spans="1:9" x14ac:dyDescent="0.25">
      <c r="A7" s="376" t="s">
        <v>31</v>
      </c>
      <c r="B7" s="377">
        <f>352+Fij2019alltestsplayed</f>
        <v>356</v>
      </c>
      <c r="C7" s="377">
        <f>171+Fij2019alltestswon</f>
        <v>172</v>
      </c>
      <c r="D7" s="377">
        <f>170+Fij2019alltestslost</f>
        <v>173</v>
      </c>
      <c r="E7" s="377">
        <f>11+Fij2019alltestsdrawn</f>
        <v>11</v>
      </c>
      <c r="F7" s="378">
        <f t="shared" si="0"/>
        <v>0.49859550561797755</v>
      </c>
      <c r="G7" s="377">
        <f>7626+Fij2019alltestsptsscored</f>
        <v>7711</v>
      </c>
      <c r="H7" s="377">
        <f>7433+Fij2019alltestsptsagainst</f>
        <v>7519</v>
      </c>
      <c r="I7" s="376">
        <f>1073+Fij2019allteststriesscored</f>
        <v>1084</v>
      </c>
    </row>
    <row r="8" spans="1:9" x14ac:dyDescent="0.25">
      <c r="A8" s="376" t="s">
        <v>34</v>
      </c>
      <c r="B8" s="377">
        <f>786+Fra2019alltestsplayed</f>
        <v>796</v>
      </c>
      <c r="C8" s="377">
        <f>426+Fra2019alltestswon</f>
        <v>436</v>
      </c>
      <c r="D8" s="377">
        <f>327+Fra2019alltestslost</f>
        <v>327</v>
      </c>
      <c r="E8" s="377">
        <f>33+Fra2019alltestsdrawn</f>
        <v>33</v>
      </c>
      <c r="F8" s="378">
        <f t="shared" si="0"/>
        <v>0.56846733668341709</v>
      </c>
      <c r="G8" s="377">
        <f>14625+Fra2019alltestsptsscored</f>
        <v>14923</v>
      </c>
      <c r="H8" s="377">
        <f>12177+Fra2019alltestsptsagainst</f>
        <v>12360</v>
      </c>
      <c r="I8" s="376">
        <f>1836+Fra2019allteststriesscored</f>
        <v>1868</v>
      </c>
    </row>
    <row r="9" spans="1:9" x14ac:dyDescent="0.25">
      <c r="A9" s="376" t="s">
        <v>38</v>
      </c>
      <c r="B9" s="377">
        <f>247+Geo2019alltestsplayed</f>
        <v>256</v>
      </c>
      <c r="C9" s="377">
        <f>151+Geo2019alltestswon</f>
        <v>158</v>
      </c>
      <c r="D9" s="377">
        <f>88+Geo2019alltestslost</f>
        <v>89</v>
      </c>
      <c r="E9" s="377">
        <f>8+Geo2019alltestsdrawn</f>
        <v>9</v>
      </c>
      <c r="F9" s="378">
        <f t="shared" si="0"/>
        <v>0.634765625</v>
      </c>
      <c r="G9" s="377">
        <f>5743+Geo2019alltestsptsscored</f>
        <v>6032</v>
      </c>
      <c r="H9" s="377">
        <f>4549+Geo2019alltestsptsagainst</f>
        <v>4705</v>
      </c>
      <c r="I9" s="376">
        <f>698+Geo2019allteststriesscored</f>
        <v>735</v>
      </c>
    </row>
    <row r="10" spans="1:9" x14ac:dyDescent="0.25">
      <c r="A10" s="376" t="s">
        <v>39</v>
      </c>
      <c r="B10" s="377">
        <f>723+Ire2019alltestsplayed</f>
        <v>734</v>
      </c>
      <c r="C10" s="377">
        <f>332+Ire2019alltestswon</f>
        <v>341</v>
      </c>
      <c r="D10" s="377">
        <f>359+Ire2019alltestslost</f>
        <v>361</v>
      </c>
      <c r="E10" s="377">
        <f>32+Ire2019alltestsdrawn</f>
        <v>32</v>
      </c>
      <c r="F10" s="378">
        <f t="shared" si="0"/>
        <v>0.48637602179836514</v>
      </c>
      <c r="G10" s="377">
        <f>11338+Ire2019alltestsptsscored</f>
        <v>11647</v>
      </c>
      <c r="H10" s="377">
        <f>10319+Ire2019alltestsptscon</f>
        <v>10501</v>
      </c>
      <c r="I10" s="376">
        <f>1402+Ire2019allteststriesscored</f>
        <v>1443</v>
      </c>
    </row>
    <row r="11" spans="1:9" x14ac:dyDescent="0.25">
      <c r="A11" s="376" t="s">
        <v>33</v>
      </c>
      <c r="B11" s="377">
        <f>522+ita2019alltestsplayed</f>
        <v>533</v>
      </c>
      <c r="C11" s="377">
        <f>188+ita2019alltestswon</f>
        <v>193</v>
      </c>
      <c r="D11" s="377">
        <f>320+ita2019alltestslost</f>
        <v>326</v>
      </c>
      <c r="E11" s="377">
        <f>14+ita2019alltestsdrawn</f>
        <v>14</v>
      </c>
      <c r="F11" s="378">
        <f t="shared" si="0"/>
        <v>0.37523452157598497</v>
      </c>
      <c r="G11" s="377">
        <f>8914+ita2019alltestsptsscored</f>
        <v>9174</v>
      </c>
      <c r="H11" s="377">
        <f>12324+ita2019alltestsptscon</f>
        <v>12684</v>
      </c>
      <c r="I11" s="377">
        <f>992+ita2019allteststriesscored</f>
        <v>1022</v>
      </c>
    </row>
    <row r="12" spans="1:9" x14ac:dyDescent="0.25">
      <c r="A12" s="376" t="s">
        <v>36</v>
      </c>
      <c r="B12" s="377">
        <f>362+jpn2019alltestsplayed</f>
        <v>369</v>
      </c>
      <c r="C12" s="377">
        <f>158+jpn2019alltestswon</f>
        <v>160</v>
      </c>
      <c r="D12" s="377">
        <f>194+jpn2019alltestslost</f>
        <v>199</v>
      </c>
      <c r="E12" s="377">
        <f>10+jpn2019alltestsdrawn</f>
        <v>10</v>
      </c>
      <c r="F12" s="378">
        <f t="shared" si="0"/>
        <v>0.44715447154471544</v>
      </c>
      <c r="G12" s="377">
        <f>10161+jpn2019alltestsptsscored</f>
        <v>10337</v>
      </c>
      <c r="H12" s="377">
        <f>10090+jpn2019alltestsptsagainst</f>
        <v>10299</v>
      </c>
      <c r="I12" s="377">
        <f>1384+jpn2019allteststriesscored</f>
        <v>1406</v>
      </c>
    </row>
    <row r="13" spans="1:9" x14ac:dyDescent="0.25">
      <c r="A13" s="376" t="s">
        <v>122</v>
      </c>
      <c r="B13" s="377">
        <f>161+Nam2019alltestsplayed</f>
        <v>166</v>
      </c>
      <c r="C13" s="377">
        <f>92++Nam2019alltestswon</f>
        <v>96</v>
      </c>
      <c r="D13" s="377">
        <f>67+Nam2019alltestslost</f>
        <v>68</v>
      </c>
      <c r="E13" s="377">
        <f>2+Nam2019alltestsdrawn</f>
        <v>2</v>
      </c>
      <c r="F13" s="378">
        <f t="shared" si="0"/>
        <v>0.58433734939759041</v>
      </c>
      <c r="G13" s="377">
        <f>5019+Nam2019alltestsptsscored</f>
        <v>5218</v>
      </c>
      <c r="H13" s="377">
        <f>4194+Nam2019alltestsptscon</f>
        <v>4289</v>
      </c>
      <c r="I13" s="376">
        <f>674+Nam2019allteststriesscored</f>
        <v>703</v>
      </c>
    </row>
    <row r="14" spans="1:9" x14ac:dyDescent="0.25">
      <c r="A14" s="376" t="s">
        <v>127</v>
      </c>
      <c r="B14" s="377">
        <f>612+Nzl2019alltestsplayed</f>
        <v>625</v>
      </c>
      <c r="C14" s="377">
        <f>472+Nzl2019alltestswon</f>
        <v>480</v>
      </c>
      <c r="D14" s="377">
        <f>118+Nzl2019alltestslost</f>
        <v>122</v>
      </c>
      <c r="E14" s="377">
        <f>22+drawn</f>
        <v>23</v>
      </c>
      <c r="F14" s="378">
        <f t="shared" si="0"/>
        <v>0.78639999999999999</v>
      </c>
      <c r="G14" s="377">
        <f>17295+Nzl2019alltestsptsscored</f>
        <v>17715</v>
      </c>
      <c r="H14" s="377">
        <f>8217+Nzl2019alltestsptscon</f>
        <v>8521</v>
      </c>
      <c r="I14" s="376">
        <f>2273+Nzl2019allteststriesscored</f>
        <v>2328</v>
      </c>
    </row>
    <row r="15" spans="1:9" x14ac:dyDescent="0.25">
      <c r="A15" s="376" t="s">
        <v>123</v>
      </c>
      <c r="B15" s="377">
        <f>465+romaniaalltestsplayed</f>
        <v>476</v>
      </c>
      <c r="C15" s="377">
        <f>266+romaniaalltestswon</f>
        <v>271</v>
      </c>
      <c r="D15" s="377">
        <f>187+romaniaalltestslost</f>
        <v>193</v>
      </c>
      <c r="E15" s="377">
        <f>12+romaniaalltestsdrawn</f>
        <v>12</v>
      </c>
      <c r="F15" s="378">
        <f t="shared" si="0"/>
        <v>0.58193277310924374</v>
      </c>
      <c r="G15" s="377">
        <f>10468+romaniaalltestsptsscored</f>
        <v>10730</v>
      </c>
      <c r="H15" s="377">
        <f>8385+romaniaalltestsptsagainst</f>
        <v>8672</v>
      </c>
      <c r="I15" s="376">
        <f>911+romaniaallteststriesscored</f>
        <v>940</v>
      </c>
    </row>
    <row r="16" spans="1:9" x14ac:dyDescent="0.25">
      <c r="A16" s="376" t="s">
        <v>104</v>
      </c>
      <c r="B16" s="377">
        <f>229+Rus2019alltestsplayed</f>
        <v>231</v>
      </c>
      <c r="C16" s="377">
        <f>112+Rus2019alltestswon</f>
        <v>112</v>
      </c>
      <c r="D16" s="377">
        <f>114+Rus2019alltestslost</f>
        <v>116</v>
      </c>
      <c r="E16" s="377">
        <f>3+Rus2019alltestsdrawn</f>
        <v>3</v>
      </c>
      <c r="F16" s="378">
        <f t="shared" si="0"/>
        <v>0.49134199134199136</v>
      </c>
      <c r="G16" s="377">
        <f>5757+Rus2019alltestsptsscored</f>
        <v>5819</v>
      </c>
      <c r="H16" s="377">
        <f>5579+Rus2019alltestsptscon</f>
        <v>5654</v>
      </c>
      <c r="I16" s="377">
        <f>592+Rus2019allteststriescored</f>
        <v>599</v>
      </c>
    </row>
    <row r="17" spans="1:10" x14ac:dyDescent="0.25">
      <c r="A17" s="376" t="s">
        <v>120</v>
      </c>
      <c r="B17" s="377">
        <f>245+Sam2019alltestsplayed</f>
        <v>250</v>
      </c>
      <c r="C17" s="377">
        <f>106+Sam2019alltestswon</f>
        <v>110</v>
      </c>
      <c r="D17" s="377">
        <f>130+Sam2019alltestslost</f>
        <v>131</v>
      </c>
      <c r="E17" s="377">
        <f>9+Sam2019alltestsdrawn</f>
        <v>9</v>
      </c>
      <c r="F17" s="378">
        <f t="shared" si="0"/>
        <v>0.45800000000000002</v>
      </c>
      <c r="G17" s="377">
        <f>4988+Sam2019alltestsptsscored</f>
        <v>5104</v>
      </c>
      <c r="H17" s="377">
        <f>5475+Sam2019alltestsptscon</f>
        <v>5581</v>
      </c>
      <c r="I17" s="377">
        <f>531+Sam2019allteststriescored</f>
        <v>546</v>
      </c>
    </row>
    <row r="18" spans="1:10" x14ac:dyDescent="0.25">
      <c r="A18" s="376" t="s">
        <v>35</v>
      </c>
      <c r="B18" s="377">
        <f>718+Sco2019alltestsplayed</f>
        <v>730</v>
      </c>
      <c r="C18" s="377">
        <f>313+Sco2019alltestswon</f>
        <v>318</v>
      </c>
      <c r="D18" s="377">
        <f>372+Sco2019alltestslost</f>
        <v>379</v>
      </c>
      <c r="E18" s="377">
        <f>33+Sco2019alltestsdrawn</f>
        <v>33</v>
      </c>
      <c r="F18" s="378">
        <f t="shared" si="0"/>
        <v>0.45821917808219176</v>
      </c>
      <c r="G18" s="377">
        <f>10368+Sco2019alltestsptsscored</f>
        <v>10656</v>
      </c>
      <c r="H18" s="377">
        <f>10913+Sco2019alltestsptsagainst</f>
        <v>11188</v>
      </c>
      <c r="I18" s="376">
        <f>1324+Sco2019allteststriesscored</f>
        <v>1361</v>
      </c>
    </row>
    <row r="19" spans="1:10" x14ac:dyDescent="0.25">
      <c r="A19" s="376" t="s">
        <v>126</v>
      </c>
      <c r="B19" s="377">
        <f>516+Rsa2019alltestsplayed</f>
        <v>529</v>
      </c>
      <c r="C19" s="377">
        <f>323+Rsa2019alltestswon</f>
        <v>331</v>
      </c>
      <c r="D19" s="377">
        <f>169+Rsa2019alltestslost</f>
        <v>174</v>
      </c>
      <c r="E19" s="377">
        <f>24+Rsa2019alltestsdrawn</f>
        <v>24</v>
      </c>
      <c r="F19" s="378">
        <f t="shared" si="0"/>
        <v>0.6483931947069943</v>
      </c>
      <c r="G19" s="377">
        <f>12149+Rsa2019alltestsptsscored</f>
        <v>12519</v>
      </c>
      <c r="H19" s="377">
        <f>8376+Rsa2019alltestsptscon</f>
        <v>8634</v>
      </c>
      <c r="I19" s="376">
        <f>1454+Rsa2019allteststriesscored</f>
        <v>1496</v>
      </c>
    </row>
    <row r="20" spans="1:10" x14ac:dyDescent="0.25">
      <c r="A20" s="376" t="s">
        <v>119</v>
      </c>
      <c r="B20" s="377">
        <f>291+Ton2019alltestsplayed</f>
        <v>297</v>
      </c>
      <c r="C20" s="377">
        <f>109+Ton2019alltestswon</f>
        <v>113</v>
      </c>
      <c r="D20" s="377">
        <f>175+Ton2019alltestslost</f>
        <v>177</v>
      </c>
      <c r="E20" s="377">
        <f>7+Ton2019alltestsdrawn</f>
        <v>7</v>
      </c>
      <c r="F20" s="378">
        <v>0.57515657620041749</v>
      </c>
      <c r="G20" s="377">
        <f>5279+Ton2019alltestsptsscored</f>
        <v>5463</v>
      </c>
      <c r="H20" s="377">
        <f>6897+Ton2019alltestsptscon</f>
        <v>7024</v>
      </c>
      <c r="I20" s="376">
        <f>630+Ton2019allteststriesscored</f>
        <v>655</v>
      </c>
    </row>
    <row r="21" spans="1:10" x14ac:dyDescent="0.25">
      <c r="A21" s="376" t="s">
        <v>159</v>
      </c>
      <c r="B21" s="377">
        <f>267+USA2019alltestsplayed</f>
        <v>272</v>
      </c>
      <c r="C21" s="377">
        <f>97+USA2019alltestswon</f>
        <v>100</v>
      </c>
      <c r="D21" s="377">
        <f>166+USA2019alltestslost</f>
        <v>167</v>
      </c>
      <c r="E21" s="377">
        <f>4+USA2019alltestsdrawn</f>
        <v>5</v>
      </c>
      <c r="F21" s="378">
        <f t="shared" si="0"/>
        <v>0.37683823529411764</v>
      </c>
      <c r="G21" s="377">
        <f>5635+USA2019alltestsptsscored</f>
        <v>5819</v>
      </c>
      <c r="H21" s="377">
        <f>7302+USA2019alltestsptscon</f>
        <v>7391</v>
      </c>
      <c r="I21" s="377">
        <f>669+USA2019allteststriesscored</f>
        <v>694</v>
      </c>
    </row>
    <row r="22" spans="1:10" x14ac:dyDescent="0.25">
      <c r="A22" s="376" t="s">
        <v>105</v>
      </c>
      <c r="B22" s="377">
        <f>294+Uru2019alltestsplayedcorrect</f>
        <v>300</v>
      </c>
      <c r="C22" s="377">
        <f>139+Uru2019alltestswon</f>
        <v>141</v>
      </c>
      <c r="D22" s="377">
        <f>151+Uru2019alltestslost</f>
        <v>155</v>
      </c>
      <c r="E22" s="377">
        <f>4+Uru2019alltestsdrawn</f>
        <v>4</v>
      </c>
      <c r="F22" s="378">
        <f t="shared" si="0"/>
        <v>0.47666666666666668</v>
      </c>
      <c r="G22" s="377">
        <f>6641+Uru2019alltestsptsscored</f>
        <v>6750</v>
      </c>
      <c r="H22" s="377">
        <f>7469+Uru2019alltestsptscon</f>
        <v>7646</v>
      </c>
      <c r="I22" s="376">
        <f>804+Uru2019allteststriesscored</f>
        <v>818</v>
      </c>
    </row>
    <row r="23" spans="1:10" x14ac:dyDescent="0.25">
      <c r="A23" s="376" t="s">
        <v>32</v>
      </c>
      <c r="B23" s="377">
        <f>755+Wal2019alltestsplayed</f>
        <v>767</v>
      </c>
      <c r="C23" s="377">
        <f>395+Wal2019alltestswon</f>
        <v>398</v>
      </c>
      <c r="D23" s="377">
        <f>330+Wal2019alltestslostcorrect</f>
        <v>338</v>
      </c>
      <c r="E23" s="377">
        <f>30+Wal2019alltestsdrawn</f>
        <v>30</v>
      </c>
      <c r="F23" s="378">
        <f t="shared" si="0"/>
        <v>0.53846153846153844</v>
      </c>
      <c r="G23" s="377">
        <f>13248+Wal2019alltestsptsscored</f>
        <v>13469</v>
      </c>
      <c r="H23" s="377">
        <f>11593+Wal2019alltestsptscon</f>
        <v>11891</v>
      </c>
      <c r="I23" s="377">
        <f>1660+Wal2019allteststriesscored</f>
        <v>1683</v>
      </c>
    </row>
    <row r="24" spans="1:10" x14ac:dyDescent="0.25">
      <c r="A24" s="372" t="s">
        <v>393</v>
      </c>
      <c r="B24" s="373"/>
      <c r="C24" s="373"/>
      <c r="D24" s="373"/>
      <c r="E24" s="373"/>
      <c r="F24" s="373"/>
      <c r="G24" s="373"/>
      <c r="H24" s="373"/>
      <c r="I24" s="373"/>
    </row>
    <row r="26" spans="1:10" x14ac:dyDescent="0.25">
      <c r="A26" s="368" t="s">
        <v>179</v>
      </c>
      <c r="B26" s="370"/>
      <c r="C26" s="370"/>
      <c r="D26" s="370"/>
      <c r="E26" s="370"/>
      <c r="F26" s="370"/>
      <c r="G26" s="370"/>
      <c r="H26" s="370"/>
      <c r="I26" s="370"/>
      <c r="J26" s="370"/>
    </row>
    <row r="27" spans="1:10" x14ac:dyDescent="0.25">
      <c r="A27" s="379"/>
      <c r="B27" s="380" t="s">
        <v>132</v>
      </c>
      <c r="C27" s="380" t="s">
        <v>133</v>
      </c>
      <c r="D27" s="380" t="s">
        <v>134</v>
      </c>
      <c r="E27" s="380" t="s">
        <v>139</v>
      </c>
      <c r="F27" s="380" t="s">
        <v>135</v>
      </c>
      <c r="G27" s="380" t="s">
        <v>136</v>
      </c>
      <c r="H27" s="380" t="s">
        <v>137</v>
      </c>
      <c r="I27" s="380" t="s">
        <v>138</v>
      </c>
      <c r="J27" s="380" t="s">
        <v>158</v>
      </c>
    </row>
    <row r="28" spans="1:10" x14ac:dyDescent="0.25">
      <c r="A28" s="381" t="s">
        <v>37</v>
      </c>
      <c r="B28" s="382">
        <v>41</v>
      </c>
      <c r="C28" s="382">
        <v>21</v>
      </c>
      <c r="D28" s="382">
        <v>20</v>
      </c>
      <c r="E28" s="382">
        <v>0</v>
      </c>
      <c r="F28" s="383">
        <f t="shared" ref="F28:F48" si="1">SUM(C28+E28*0.5)/B28</f>
        <v>0.51219512195121952</v>
      </c>
      <c r="G28" s="382">
        <v>1098</v>
      </c>
      <c r="H28" s="382">
        <v>839</v>
      </c>
      <c r="I28" s="381">
        <v>115</v>
      </c>
      <c r="J28" s="370">
        <v>9</v>
      </c>
    </row>
    <row r="29" spans="1:10" x14ac:dyDescent="0.25">
      <c r="A29" s="381" t="s">
        <v>29</v>
      </c>
      <c r="B29" s="382">
        <v>53</v>
      </c>
      <c r="C29" s="382">
        <v>42</v>
      </c>
      <c r="D29" s="382">
        <v>11</v>
      </c>
      <c r="E29" s="382">
        <v>0</v>
      </c>
      <c r="F29" s="383">
        <f t="shared" si="1"/>
        <v>0.79245283018867929</v>
      </c>
      <c r="G29" s="382">
        <v>1797</v>
      </c>
      <c r="H29" s="382">
        <v>754</v>
      </c>
      <c r="I29" s="382">
        <v>230</v>
      </c>
      <c r="J29" s="370">
        <v>9</v>
      </c>
    </row>
    <row r="30" spans="1:10" x14ac:dyDescent="0.25">
      <c r="A30" s="381" t="s">
        <v>40</v>
      </c>
      <c r="B30" s="382">
        <v>32</v>
      </c>
      <c r="C30" s="382">
        <v>7</v>
      </c>
      <c r="D30" s="382">
        <v>23</v>
      </c>
      <c r="E30" s="382">
        <v>2</v>
      </c>
      <c r="F30" s="383">
        <f t="shared" si="1"/>
        <v>0.25</v>
      </c>
      <c r="G30" s="382">
        <v>541</v>
      </c>
      <c r="H30" s="382">
        <v>1015</v>
      </c>
      <c r="I30" s="382">
        <v>58</v>
      </c>
      <c r="J30" s="370">
        <v>9</v>
      </c>
    </row>
    <row r="31" spans="1:10" x14ac:dyDescent="0.25">
      <c r="A31" s="381" t="s">
        <v>30</v>
      </c>
      <c r="B31" s="382">
        <v>50</v>
      </c>
      <c r="C31" s="382">
        <v>36</v>
      </c>
      <c r="D31" s="382">
        <v>14</v>
      </c>
      <c r="E31" s="382">
        <v>0</v>
      </c>
      <c r="F31" s="383">
        <f t="shared" si="1"/>
        <v>0.72</v>
      </c>
      <c r="G31" s="382">
        <v>1569</v>
      </c>
      <c r="H31" s="382">
        <v>783</v>
      </c>
      <c r="I31" s="381">
        <v>169</v>
      </c>
      <c r="J31" s="370">
        <v>9</v>
      </c>
    </row>
    <row r="32" spans="1:10" x14ac:dyDescent="0.25">
      <c r="A32" s="381" t="s">
        <v>31</v>
      </c>
      <c r="B32" s="382">
        <v>32</v>
      </c>
      <c r="C32" s="382">
        <v>11</v>
      </c>
      <c r="D32" s="382">
        <v>21</v>
      </c>
      <c r="E32" s="382">
        <v>0</v>
      </c>
      <c r="F32" s="383">
        <f t="shared" si="1"/>
        <v>0.34375</v>
      </c>
      <c r="G32" s="382">
        <v>732</v>
      </c>
      <c r="H32" s="382">
        <v>971</v>
      </c>
      <c r="I32" s="381">
        <v>86</v>
      </c>
      <c r="J32" s="370">
        <v>8</v>
      </c>
    </row>
    <row r="33" spans="1:10" x14ac:dyDescent="0.25">
      <c r="A33" s="381" t="s">
        <v>34</v>
      </c>
      <c r="B33" s="382">
        <v>52</v>
      </c>
      <c r="C33" s="382">
        <v>36</v>
      </c>
      <c r="D33" s="382">
        <v>15</v>
      </c>
      <c r="E33" s="382">
        <v>1</v>
      </c>
      <c r="F33" s="383">
        <f t="shared" si="1"/>
        <v>0.70192307692307687</v>
      </c>
      <c r="G33" s="382">
        <v>1585</v>
      </c>
      <c r="H33" s="382">
        <v>966</v>
      </c>
      <c r="I33" s="381">
        <v>183</v>
      </c>
      <c r="J33" s="370">
        <v>9</v>
      </c>
    </row>
    <row r="34" spans="1:10" x14ac:dyDescent="0.25">
      <c r="A34" s="381" t="s">
        <v>38</v>
      </c>
      <c r="B34" s="382">
        <v>20</v>
      </c>
      <c r="C34" s="382">
        <v>5</v>
      </c>
      <c r="D34" s="382">
        <v>15</v>
      </c>
      <c r="E34" s="382">
        <v>0</v>
      </c>
      <c r="F34" s="383">
        <f t="shared" si="1"/>
        <v>0.25</v>
      </c>
      <c r="G34" s="382">
        <v>262</v>
      </c>
      <c r="H34" s="382">
        <v>646</v>
      </c>
      <c r="I34" s="381">
        <v>23</v>
      </c>
      <c r="J34" s="370">
        <v>5</v>
      </c>
    </row>
    <row r="35" spans="1:10" x14ac:dyDescent="0.25">
      <c r="A35" s="381" t="s">
        <v>39</v>
      </c>
      <c r="B35" s="382">
        <v>40</v>
      </c>
      <c r="C35" s="382">
        <v>24</v>
      </c>
      <c r="D35" s="382">
        <v>16</v>
      </c>
      <c r="E35" s="382">
        <v>0</v>
      </c>
      <c r="F35" s="383">
        <f t="shared" si="1"/>
        <v>0.6</v>
      </c>
      <c r="G35" s="382">
        <v>1108</v>
      </c>
      <c r="H35" s="382">
        <v>735</v>
      </c>
      <c r="I35" s="381">
        <v>134</v>
      </c>
      <c r="J35" s="370">
        <v>9</v>
      </c>
    </row>
    <row r="36" spans="1:10" x14ac:dyDescent="0.25">
      <c r="A36" s="381" t="s">
        <v>33</v>
      </c>
      <c r="B36" s="382">
        <v>31</v>
      </c>
      <c r="C36" s="382">
        <v>13</v>
      </c>
      <c r="D36" s="382">
        <v>18</v>
      </c>
      <c r="E36" s="382">
        <v>0</v>
      </c>
      <c r="F36" s="383">
        <f t="shared" si="1"/>
        <v>0.41935483870967744</v>
      </c>
      <c r="G36" s="382">
        <v>627</v>
      </c>
      <c r="H36" s="382">
        <v>977</v>
      </c>
      <c r="I36" s="382">
        <v>68</v>
      </c>
      <c r="J36" s="370">
        <v>9</v>
      </c>
    </row>
    <row r="37" spans="1:10" x14ac:dyDescent="0.25">
      <c r="A37" s="381" t="s">
        <v>156</v>
      </c>
      <c r="B37" s="382">
        <v>3</v>
      </c>
      <c r="C37" s="382">
        <v>0</v>
      </c>
      <c r="D37" s="382">
        <v>3</v>
      </c>
      <c r="E37" s="382">
        <v>0</v>
      </c>
      <c r="F37" s="383">
        <f t="shared" si="1"/>
        <v>0</v>
      </c>
      <c r="G37" s="382">
        <v>29</v>
      </c>
      <c r="H37" s="382">
        <v>172</v>
      </c>
      <c r="I37" s="382">
        <v>3</v>
      </c>
      <c r="J37" s="370">
        <v>1</v>
      </c>
    </row>
    <row r="38" spans="1:10" x14ac:dyDescent="0.25">
      <c r="A38" s="381" t="s">
        <v>36</v>
      </c>
      <c r="B38" s="382">
        <v>33</v>
      </c>
      <c r="C38" s="382">
        <v>8</v>
      </c>
      <c r="D38" s="382">
        <v>23</v>
      </c>
      <c r="E38" s="382">
        <v>2</v>
      </c>
      <c r="F38" s="383">
        <f t="shared" si="1"/>
        <v>0.27272727272727271</v>
      </c>
      <c r="G38" s="382">
        <v>644</v>
      </c>
      <c r="H38" s="382">
        <v>1347</v>
      </c>
      <c r="I38" s="382">
        <v>73</v>
      </c>
      <c r="J38" s="370">
        <v>9</v>
      </c>
    </row>
    <row r="39" spans="1:10" x14ac:dyDescent="0.25">
      <c r="A39" s="381" t="s">
        <v>122</v>
      </c>
      <c r="B39" s="382">
        <v>23</v>
      </c>
      <c r="C39" s="382">
        <v>0</v>
      </c>
      <c r="D39" s="382">
        <v>22</v>
      </c>
      <c r="E39" s="382">
        <v>0</v>
      </c>
      <c r="F39" s="383">
        <f t="shared" si="1"/>
        <v>0</v>
      </c>
      <c r="G39" s="382">
        <v>248</v>
      </c>
      <c r="H39" s="382">
        <v>1323</v>
      </c>
      <c r="I39" s="381">
        <v>27</v>
      </c>
      <c r="J39" s="370">
        <v>6</v>
      </c>
    </row>
    <row r="40" spans="1:10" x14ac:dyDescent="0.25">
      <c r="A40" s="381" t="s">
        <v>127</v>
      </c>
      <c r="B40" s="382">
        <v>56</v>
      </c>
      <c r="C40" s="382">
        <v>49</v>
      </c>
      <c r="D40" s="382">
        <v>7</v>
      </c>
      <c r="E40" s="382">
        <v>0</v>
      </c>
      <c r="F40" s="383">
        <f t="shared" si="1"/>
        <v>0.875</v>
      </c>
      <c r="G40" s="382">
        <v>2552</v>
      </c>
      <c r="H40" s="382">
        <v>753</v>
      </c>
      <c r="I40" s="381">
        <v>347</v>
      </c>
      <c r="J40" s="370">
        <v>9</v>
      </c>
    </row>
    <row r="41" spans="1:10" x14ac:dyDescent="0.25">
      <c r="A41" s="381" t="s">
        <v>125</v>
      </c>
      <c r="B41" s="382">
        <v>4</v>
      </c>
      <c r="C41" s="382">
        <v>0</v>
      </c>
      <c r="D41" s="382">
        <v>4</v>
      </c>
      <c r="E41" s="382">
        <v>0</v>
      </c>
      <c r="F41" s="383">
        <f t="shared" si="1"/>
        <v>0</v>
      </c>
      <c r="G41" s="382">
        <v>38</v>
      </c>
      <c r="H41" s="382">
        <v>209</v>
      </c>
      <c r="I41" s="381">
        <v>4</v>
      </c>
      <c r="J41" s="370">
        <v>1</v>
      </c>
    </row>
    <row r="42" spans="1:10" x14ac:dyDescent="0.25">
      <c r="A42" s="381" t="s">
        <v>123</v>
      </c>
      <c r="B42" s="382">
        <v>28</v>
      </c>
      <c r="C42" s="382">
        <v>6</v>
      </c>
      <c r="D42" s="382">
        <v>22</v>
      </c>
      <c r="E42" s="382">
        <v>0</v>
      </c>
      <c r="F42" s="383">
        <f t="shared" si="1"/>
        <v>0.21428571428571427</v>
      </c>
      <c r="G42" s="382">
        <v>365</v>
      </c>
      <c r="H42" s="382">
        <v>1068</v>
      </c>
      <c r="I42" s="381">
        <v>40</v>
      </c>
      <c r="J42" s="370">
        <v>8</v>
      </c>
    </row>
    <row r="43" spans="1:10" x14ac:dyDescent="0.25">
      <c r="A43" s="381" t="s">
        <v>104</v>
      </c>
      <c r="B43" s="382">
        <v>8</v>
      </c>
      <c r="C43" s="382">
        <v>0</v>
      </c>
      <c r="D43" s="382">
        <v>8</v>
      </c>
      <c r="E43" s="382">
        <v>0</v>
      </c>
      <c r="F43" s="383">
        <f t="shared" si="1"/>
        <v>0</v>
      </c>
      <c r="G43" s="382">
        <v>76</v>
      </c>
      <c r="H43" s="382">
        <v>356</v>
      </c>
      <c r="I43" s="382">
        <v>9</v>
      </c>
      <c r="J43" s="370">
        <v>2</v>
      </c>
    </row>
    <row r="44" spans="1:10" x14ac:dyDescent="0.25">
      <c r="A44" s="381" t="s">
        <v>120</v>
      </c>
      <c r="B44" s="382">
        <v>32</v>
      </c>
      <c r="C44" s="382">
        <v>13</v>
      </c>
      <c r="D44" s="382">
        <v>19</v>
      </c>
      <c r="E44" s="382">
        <v>0</v>
      </c>
      <c r="F44" s="383">
        <f t="shared" si="1"/>
        <v>0.40625</v>
      </c>
      <c r="G44" s="382">
        <v>712</v>
      </c>
      <c r="H44" s="382">
        <v>860</v>
      </c>
      <c r="I44" s="382">
        <v>83</v>
      </c>
      <c r="J44" s="370">
        <v>8</v>
      </c>
    </row>
    <row r="45" spans="1:10" x14ac:dyDescent="0.25">
      <c r="A45" s="381" t="s">
        <v>35</v>
      </c>
      <c r="B45" s="382">
        <v>42</v>
      </c>
      <c r="C45" s="382">
        <v>24</v>
      </c>
      <c r="D45" s="382">
        <v>17</v>
      </c>
      <c r="E45" s="382">
        <v>1</v>
      </c>
      <c r="F45" s="383">
        <f t="shared" si="1"/>
        <v>0.58333333333333337</v>
      </c>
      <c r="G45" s="382">
        <v>1261</v>
      </c>
      <c r="H45" s="382">
        <v>803</v>
      </c>
      <c r="I45" s="381">
        <v>146</v>
      </c>
      <c r="J45" s="370">
        <v>9</v>
      </c>
    </row>
    <row r="46" spans="1:10" x14ac:dyDescent="0.25">
      <c r="A46" s="381" t="s">
        <v>126</v>
      </c>
      <c r="B46" s="382">
        <v>43</v>
      </c>
      <c r="C46" s="382">
        <v>36</v>
      </c>
      <c r="D46" s="382">
        <v>7</v>
      </c>
      <c r="E46" s="382">
        <v>0</v>
      </c>
      <c r="F46" s="383">
        <f t="shared" si="1"/>
        <v>0.83720930232558144</v>
      </c>
      <c r="G46" s="382">
        <v>1512</v>
      </c>
      <c r="H46" s="382">
        <v>553</v>
      </c>
      <c r="I46" s="381">
        <v>174</v>
      </c>
      <c r="J46" s="370">
        <v>7</v>
      </c>
    </row>
    <row r="47" spans="1:10" x14ac:dyDescent="0.25">
      <c r="A47" s="381" t="s">
        <v>124</v>
      </c>
      <c r="B47" s="382">
        <v>3</v>
      </c>
      <c r="C47" s="382">
        <v>0</v>
      </c>
      <c r="D47" s="382">
        <v>3</v>
      </c>
      <c r="E47" s="382">
        <v>0</v>
      </c>
      <c r="F47" s="383">
        <f t="shared" si="1"/>
        <v>0</v>
      </c>
      <c r="G47" s="382">
        <v>18</v>
      </c>
      <c r="H47" s="382">
        <v>122</v>
      </c>
      <c r="I47" s="381">
        <v>0</v>
      </c>
      <c r="J47" s="370">
        <v>1</v>
      </c>
    </row>
    <row r="48" spans="1:10" x14ac:dyDescent="0.25">
      <c r="A48" s="381" t="s">
        <v>119</v>
      </c>
      <c r="B48" s="382">
        <v>29</v>
      </c>
      <c r="C48" s="382">
        <v>8</v>
      </c>
      <c r="D48" s="382">
        <v>21</v>
      </c>
      <c r="E48" s="382">
        <v>0</v>
      </c>
      <c r="F48" s="383">
        <f t="shared" si="1"/>
        <v>0.27586206896551724</v>
      </c>
      <c r="G48" s="382">
        <v>472</v>
      </c>
      <c r="H48" s="382">
        <v>966</v>
      </c>
      <c r="I48" s="381">
        <v>53</v>
      </c>
      <c r="J48" s="370">
        <v>8</v>
      </c>
    </row>
    <row r="49" spans="1:10" x14ac:dyDescent="0.25">
      <c r="A49" s="381" t="s">
        <v>159</v>
      </c>
      <c r="B49" s="382">
        <v>29</v>
      </c>
      <c r="C49" s="382">
        <v>3</v>
      </c>
      <c r="D49" s="382">
        <v>26</v>
      </c>
      <c r="E49" s="382">
        <v>0</v>
      </c>
      <c r="F49" s="383">
        <f t="shared" ref="F49:F51" si="2">SUM(C49+E49*0.5)/B49</f>
        <v>0.10344827586206896</v>
      </c>
      <c r="G49" s="382">
        <v>402</v>
      </c>
      <c r="H49" s="382">
        <v>1048</v>
      </c>
      <c r="I49" s="382">
        <v>44</v>
      </c>
      <c r="J49" s="370">
        <v>8</v>
      </c>
    </row>
    <row r="50" spans="1:10" x14ac:dyDescent="0.25">
      <c r="A50" s="381" t="s">
        <v>105</v>
      </c>
      <c r="B50" s="382">
        <v>15</v>
      </c>
      <c r="C50" s="382">
        <v>3</v>
      </c>
      <c r="D50" s="382">
        <v>12</v>
      </c>
      <c r="E50" s="382">
        <v>0</v>
      </c>
      <c r="F50" s="383">
        <f t="shared" si="2"/>
        <v>0.2</v>
      </c>
      <c r="G50" s="382">
        <v>188</v>
      </c>
      <c r="H50" s="382">
        <v>718</v>
      </c>
      <c r="I50" s="381">
        <v>18</v>
      </c>
      <c r="J50" s="370">
        <v>4</v>
      </c>
    </row>
    <row r="51" spans="1:10" x14ac:dyDescent="0.25">
      <c r="A51" s="381" t="s">
        <v>32</v>
      </c>
      <c r="B51" s="382">
        <v>44</v>
      </c>
      <c r="C51" s="382">
        <v>26</v>
      </c>
      <c r="D51" s="382">
        <v>18</v>
      </c>
      <c r="E51" s="382">
        <v>0</v>
      </c>
      <c r="F51" s="383">
        <f t="shared" si="2"/>
        <v>0.59090909090909094</v>
      </c>
      <c r="G51" s="382">
        <v>1238</v>
      </c>
      <c r="H51" s="382">
        <v>865</v>
      </c>
      <c r="I51" s="382">
        <v>149</v>
      </c>
      <c r="J51" s="370">
        <v>9</v>
      </c>
    </row>
    <row r="52" spans="1:10" x14ac:dyDescent="0.25">
      <c r="A52" s="381" t="s">
        <v>157</v>
      </c>
      <c r="B52" s="382">
        <v>6</v>
      </c>
      <c r="C52" s="382">
        <v>0</v>
      </c>
      <c r="D52" s="382">
        <v>6</v>
      </c>
      <c r="E52" s="382">
        <v>0</v>
      </c>
      <c r="F52" s="383">
        <f t="shared" ref="F52" si="3">SUM(C52+E52*0.5)/B52</f>
        <v>0</v>
      </c>
      <c r="G52" s="382">
        <v>84</v>
      </c>
      <c r="H52" s="382">
        <v>309</v>
      </c>
      <c r="I52" s="382">
        <v>11</v>
      </c>
      <c r="J52" s="370">
        <v>2</v>
      </c>
    </row>
    <row r="53" spans="1:10" x14ac:dyDescent="0.25">
      <c r="A53" s="384" t="s">
        <v>57</v>
      </c>
      <c r="B53" s="385">
        <f>SUM(B28:B52)/2</f>
        <v>374.5</v>
      </c>
      <c r="C53" s="385">
        <f>SUM(C28:C52)/2</f>
        <v>185.5</v>
      </c>
      <c r="D53" s="385">
        <f>SUM(D28:D52)/2</f>
        <v>185.5</v>
      </c>
      <c r="E53" s="385">
        <f>SUM(E28:E52)/2</f>
        <v>3</v>
      </c>
      <c r="F53" s="369" t="s">
        <v>106</v>
      </c>
      <c r="G53" s="368">
        <f>SUM(G28:G52)</f>
        <v>19158</v>
      </c>
      <c r="H53" s="368">
        <f>SUM(H28:H52)</f>
        <v>19158</v>
      </c>
      <c r="I53" s="368">
        <f>SUM(I28:I52)</f>
        <v>2247</v>
      </c>
      <c r="J53" s="385">
        <f>SUM(J28:J52)/18.5</f>
        <v>9.0810810810810807</v>
      </c>
    </row>
    <row r="54" spans="1:10" x14ac:dyDescent="0.25">
      <c r="A54" s="368" t="s">
        <v>172</v>
      </c>
      <c r="B54" s="370"/>
      <c r="C54" s="370"/>
      <c r="D54" s="370"/>
      <c r="E54" s="370"/>
      <c r="F54" s="370"/>
      <c r="G54" s="370"/>
      <c r="H54" s="370"/>
      <c r="I54" s="370"/>
      <c r="J54" s="370"/>
    </row>
    <row r="56" spans="1:10" x14ac:dyDescent="0.25">
      <c r="A56" s="438" t="s">
        <v>170</v>
      </c>
      <c r="B56" s="439"/>
      <c r="C56" s="439"/>
      <c r="D56" s="439"/>
      <c r="E56" s="439"/>
      <c r="F56" s="439"/>
      <c r="G56" s="439"/>
      <c r="H56" s="439"/>
      <c r="I56" s="439"/>
    </row>
    <row r="57" spans="1:10" x14ac:dyDescent="0.25">
      <c r="A57" s="440"/>
      <c r="B57" s="441" t="s">
        <v>132</v>
      </c>
      <c r="C57" s="441" t="s">
        <v>133</v>
      </c>
      <c r="D57" s="441" t="s">
        <v>134</v>
      </c>
      <c r="E57" s="441" t="s">
        <v>139</v>
      </c>
      <c r="F57" s="441" t="s">
        <v>135</v>
      </c>
      <c r="G57" s="441" t="s">
        <v>136</v>
      </c>
      <c r="H57" s="441" t="s">
        <v>137</v>
      </c>
      <c r="I57" s="441" t="s">
        <v>138</v>
      </c>
    </row>
    <row r="58" spans="1:10" x14ac:dyDescent="0.25">
      <c r="A58" s="439" t="s">
        <v>30</v>
      </c>
      <c r="B58" s="442">
        <f>488+Englandplayed</f>
        <v>493</v>
      </c>
      <c r="C58" s="442">
        <f>267+Englandwon</f>
        <v>269</v>
      </c>
      <c r="D58" s="442">
        <f>181+Englandlost</f>
        <v>184</v>
      </c>
      <c r="E58" s="442">
        <f>40+Englanddrawn</f>
        <v>40</v>
      </c>
      <c r="F58" s="443">
        <f t="shared" ref="F58:F62" si="4">SUM(C58+E58*0.5)/B58</f>
        <v>0.58620689655172409</v>
      </c>
      <c r="G58" s="442">
        <f>7092+Englandptsscored</f>
        <v>7193</v>
      </c>
      <c r="H58" s="442">
        <f>5306+Englandptsagainst</f>
        <v>5402</v>
      </c>
      <c r="I58" s="439">
        <f>977+Englandtriesscored</f>
        <v>985</v>
      </c>
    </row>
    <row r="59" spans="1:10" x14ac:dyDescent="0.25">
      <c r="A59" s="439" t="s">
        <v>34</v>
      </c>
      <c r="B59" s="442">
        <f>389+Franceplayed</f>
        <v>394</v>
      </c>
      <c r="C59" s="442">
        <f>201+Francewon</f>
        <v>206</v>
      </c>
      <c r="D59" s="442">
        <f>169+Francelost</f>
        <v>169</v>
      </c>
      <c r="E59" s="442">
        <f>19+Francedrawn</f>
        <v>19</v>
      </c>
      <c r="F59" s="443">
        <f t="shared" si="4"/>
        <v>0.54695431472081213</v>
      </c>
      <c r="G59" s="442">
        <f>5991+Franceptsscored</f>
        <v>6132</v>
      </c>
      <c r="H59" s="442">
        <f>5319+Franceptsagainst</f>
        <v>5392</v>
      </c>
      <c r="I59" s="439">
        <f>748+Francetriesscored</f>
        <v>765</v>
      </c>
    </row>
    <row r="60" spans="1:10" x14ac:dyDescent="0.25">
      <c r="A60" s="439" t="s">
        <v>39</v>
      </c>
      <c r="B60" s="442">
        <f>488+Irelandplayed</f>
        <v>493</v>
      </c>
      <c r="C60" s="442">
        <f>214+Irelandwon</f>
        <v>218</v>
      </c>
      <c r="D60" s="442">
        <f>248+Irelandlost</f>
        <v>249</v>
      </c>
      <c r="E60" s="442">
        <f>26+Irelanddrawn</f>
        <v>26</v>
      </c>
      <c r="F60" s="443">
        <f t="shared" si="4"/>
        <v>0.46855983772819471</v>
      </c>
      <c r="G60" s="442">
        <f>5896+Irelandptsscored</f>
        <v>6064</v>
      </c>
      <c r="H60" s="442">
        <f>6137+Irelandptsagainst</f>
        <v>6200</v>
      </c>
      <c r="I60" s="439">
        <f>765+Irelandtriesscored</f>
        <v>789</v>
      </c>
    </row>
    <row r="61" spans="1:10" x14ac:dyDescent="0.25">
      <c r="A61" s="439" t="s">
        <v>33</v>
      </c>
      <c r="B61" s="442">
        <f>110+Italyplayed</f>
        <v>115</v>
      </c>
      <c r="C61" s="442">
        <f>12+Italywon</f>
        <v>13</v>
      </c>
      <c r="D61" s="442">
        <f>97+Italylost</f>
        <v>101</v>
      </c>
      <c r="E61" s="442">
        <f>1+Italydrawn</f>
        <v>1</v>
      </c>
      <c r="F61" s="443">
        <f t="shared" si="4"/>
        <v>0.11739130434782609</v>
      </c>
      <c r="G61" s="442">
        <f>1559+Italyptsscored</f>
        <v>1619</v>
      </c>
      <c r="H61" s="442">
        <f>3780+Italyptsagainst</f>
        <v>3961</v>
      </c>
      <c r="I61" s="442">
        <f>145+Italytriesscored</f>
        <v>150</v>
      </c>
    </row>
    <row r="62" spans="1:10" x14ac:dyDescent="0.25">
      <c r="A62" s="439" t="s">
        <v>35</v>
      </c>
      <c r="B62" s="442">
        <f>489+Scotlandplayed</f>
        <v>494</v>
      </c>
      <c r="C62" s="442">
        <f>203+Scotlandwon</f>
        <v>205</v>
      </c>
      <c r="D62" s="442">
        <f>262+Scotlandlost</f>
        <v>265</v>
      </c>
      <c r="E62" s="442">
        <f>24+Scotlanddrawn</f>
        <v>24</v>
      </c>
      <c r="F62" s="443">
        <f t="shared" si="4"/>
        <v>0.43927125506072873</v>
      </c>
      <c r="G62" s="442">
        <f>5551+Scotlandptsscored</f>
        <v>5643</v>
      </c>
      <c r="H62" s="442">
        <f>6490+Scotlandptsagainst</f>
        <v>6611</v>
      </c>
      <c r="I62" s="439">
        <f>751+Scotlandtriesscored</f>
        <v>762</v>
      </c>
    </row>
    <row r="63" spans="1:10" x14ac:dyDescent="0.25">
      <c r="A63" s="439" t="s">
        <v>32</v>
      </c>
      <c r="B63" s="442">
        <f>486+Walesplayed</f>
        <v>491</v>
      </c>
      <c r="C63" s="442">
        <f>260+Waleswon</f>
        <v>261</v>
      </c>
      <c r="D63" s="442">
        <f>200+Waleslost</f>
        <v>204</v>
      </c>
      <c r="E63" s="442">
        <f>26+Walesdrawn</f>
        <v>26</v>
      </c>
      <c r="F63" s="443">
        <f t="shared" ref="F63" si="5">SUM(C63+E63*0.5)/B63</f>
        <v>0.55804480651731159</v>
      </c>
      <c r="G63" s="442">
        <f>6789+Walesptsscored</f>
        <v>6865</v>
      </c>
      <c r="H63" s="442">
        <f>5846+Walesptsagainst</f>
        <v>5950</v>
      </c>
      <c r="I63" s="442">
        <f>927+Walestriesscored</f>
        <v>935</v>
      </c>
    </row>
    <row r="64" spans="1:10" x14ac:dyDescent="0.25">
      <c r="A64" s="438" t="s">
        <v>393</v>
      </c>
      <c r="B64" s="439"/>
      <c r="C64" s="439"/>
      <c r="D64" s="439"/>
      <c r="E64" s="439"/>
      <c r="F64" s="439"/>
      <c r="G64" s="439"/>
      <c r="H64" s="439"/>
      <c r="I64" s="439"/>
    </row>
    <row r="66" spans="1:14" x14ac:dyDescent="0.25">
      <c r="A66" s="438" t="s">
        <v>169</v>
      </c>
      <c r="B66" s="439"/>
      <c r="C66" s="439"/>
      <c r="D66" s="439"/>
      <c r="E66" s="439"/>
      <c r="F66" s="439"/>
      <c r="G66" s="439"/>
      <c r="H66" s="439"/>
      <c r="I66" s="439"/>
      <c r="J66" s="728"/>
      <c r="K66" s="728"/>
      <c r="L66" s="728"/>
      <c r="M66" s="728"/>
      <c r="N66" s="728"/>
    </row>
    <row r="67" spans="1:14" x14ac:dyDescent="0.25">
      <c r="A67" s="440"/>
      <c r="B67" s="441" t="s">
        <v>132</v>
      </c>
      <c r="C67" s="441" t="s">
        <v>133</v>
      </c>
      <c r="D67" s="441" t="s">
        <v>134</v>
      </c>
      <c r="E67" s="441" t="s">
        <v>139</v>
      </c>
      <c r="F67" s="441" t="s">
        <v>135</v>
      </c>
      <c r="G67" s="441" t="s">
        <v>136</v>
      </c>
      <c r="H67" s="441" t="s">
        <v>137</v>
      </c>
      <c r="I67" s="441" t="s">
        <v>138</v>
      </c>
      <c r="J67" s="441" t="s">
        <v>888</v>
      </c>
      <c r="K67" s="441" t="s">
        <v>884</v>
      </c>
      <c r="L67" s="441" t="s">
        <v>885</v>
      </c>
      <c r="M67" s="441" t="s">
        <v>886</v>
      </c>
      <c r="N67" s="441" t="s">
        <v>887</v>
      </c>
    </row>
    <row r="68" spans="1:14" x14ac:dyDescent="0.25">
      <c r="A68" s="439" t="s">
        <v>30</v>
      </c>
      <c r="B68" s="442">
        <f>110+Englandplayed</f>
        <v>115</v>
      </c>
      <c r="C68" s="442">
        <f>75+Englandwon</f>
        <v>77</v>
      </c>
      <c r="D68" s="442">
        <f>33+Englandlost</f>
        <v>36</v>
      </c>
      <c r="E68" s="442">
        <f>2+Englanddrawn</f>
        <v>2</v>
      </c>
      <c r="F68" s="443">
        <f t="shared" ref="F68:F73" si="6">SUM(C68+E68*0.5)/B68</f>
        <v>0.67826086956521736</v>
      </c>
      <c r="G68" s="442">
        <f>3015+Englandptsscored</f>
        <v>3116</v>
      </c>
      <c r="H68" s="442">
        <f>1799+Englandptsagainst</f>
        <v>1895</v>
      </c>
      <c r="I68" s="439">
        <f>325+Englandtriesscored</f>
        <v>333</v>
      </c>
      <c r="J68" s="439"/>
      <c r="K68" s="439">
        <v>7</v>
      </c>
      <c r="L68" s="439">
        <v>2</v>
      </c>
      <c r="M68" s="439">
        <v>5</v>
      </c>
      <c r="N68" s="439">
        <v>0</v>
      </c>
    </row>
    <row r="69" spans="1:14" x14ac:dyDescent="0.25">
      <c r="A69" s="439" t="s">
        <v>34</v>
      </c>
      <c r="B69" s="442">
        <f>110+Franceplayed</f>
        <v>115</v>
      </c>
      <c r="C69" s="442">
        <f>68+Francewon</f>
        <v>73</v>
      </c>
      <c r="D69" s="442">
        <f>40+Francelost</f>
        <v>40</v>
      </c>
      <c r="E69" s="442">
        <f>2+Francedrawn</f>
        <v>2</v>
      </c>
      <c r="F69" s="443">
        <f t="shared" si="6"/>
        <v>0.64347826086956517</v>
      </c>
      <c r="G69" s="442">
        <f>2670+Franceptsscored</f>
        <v>2811</v>
      </c>
      <c r="H69" s="442">
        <f>2056+Franceptsagainst</f>
        <v>2129</v>
      </c>
      <c r="I69" s="439">
        <f>263+Francetriesscored</f>
        <v>280</v>
      </c>
      <c r="J69" s="439"/>
      <c r="K69" s="439">
        <v>6</v>
      </c>
      <c r="L69" s="439">
        <v>4</v>
      </c>
      <c r="M69" s="729" t="s">
        <v>358</v>
      </c>
      <c r="N69" s="439">
        <v>1</v>
      </c>
    </row>
    <row r="70" spans="1:14" x14ac:dyDescent="0.25">
      <c r="A70" s="439" t="s">
        <v>39</v>
      </c>
      <c r="B70" s="442">
        <f>110+Irelandplayed</f>
        <v>115</v>
      </c>
      <c r="C70" s="442">
        <f>72+Irelandwon</f>
        <v>76</v>
      </c>
      <c r="D70" s="442">
        <f>35+Irelandlost</f>
        <v>36</v>
      </c>
      <c r="E70" s="442">
        <f>3+Irelanddrawn</f>
        <v>3</v>
      </c>
      <c r="F70" s="443">
        <f t="shared" si="6"/>
        <v>0.67391304347826086</v>
      </c>
      <c r="G70" s="442">
        <f>2735+Irelandptsscored</f>
        <v>2903</v>
      </c>
      <c r="H70" s="442">
        <f>1985+Irelandptsagainst</f>
        <v>2048</v>
      </c>
      <c r="I70" s="439">
        <f>288+Irelandtriesscored</f>
        <v>312</v>
      </c>
      <c r="J70" s="439"/>
      <c r="K70" s="439">
        <v>4</v>
      </c>
      <c r="L70" s="439">
        <v>2</v>
      </c>
      <c r="M70" s="439">
        <v>6</v>
      </c>
      <c r="N70" s="439">
        <v>0</v>
      </c>
    </row>
    <row r="71" spans="1:14" x14ac:dyDescent="0.25">
      <c r="A71" s="439" t="s">
        <v>33</v>
      </c>
      <c r="B71" s="442">
        <f>110+Italyplayed</f>
        <v>115</v>
      </c>
      <c r="C71" s="442">
        <f>12+Italywon</f>
        <v>13</v>
      </c>
      <c r="D71" s="442">
        <f>97+Italylost</f>
        <v>101</v>
      </c>
      <c r="E71" s="442">
        <f>1+Italydrawn</f>
        <v>1</v>
      </c>
      <c r="F71" s="443">
        <f t="shared" si="6"/>
        <v>0.11739130434782609</v>
      </c>
      <c r="G71" s="442">
        <f>1559+Italyptsscored</f>
        <v>1619</v>
      </c>
      <c r="H71" s="442">
        <f>3780+Italyptsagainst</f>
        <v>3961</v>
      </c>
      <c r="I71" s="442">
        <f>145+Italytriesscored</f>
        <v>150</v>
      </c>
      <c r="J71" s="442"/>
      <c r="K71" s="439">
        <v>0</v>
      </c>
      <c r="L71" s="439">
        <v>0</v>
      </c>
      <c r="M71" s="729" t="s">
        <v>358</v>
      </c>
      <c r="N71" s="439">
        <v>17</v>
      </c>
    </row>
    <row r="72" spans="1:14" x14ac:dyDescent="0.25">
      <c r="A72" s="439" t="s">
        <v>35</v>
      </c>
      <c r="B72" s="442">
        <f>110+Scotlandplayed</f>
        <v>115</v>
      </c>
      <c r="C72" s="442">
        <f>34+Scotlandwon</f>
        <v>36</v>
      </c>
      <c r="D72" s="442">
        <f>73+Scotlandlost</f>
        <v>76</v>
      </c>
      <c r="E72" s="442">
        <f>3+Scotlanddrawn</f>
        <v>3</v>
      </c>
      <c r="F72" s="443">
        <f t="shared" si="6"/>
        <v>0.32608695652173914</v>
      </c>
      <c r="G72" s="442">
        <f>1921+Scotlandptsscored</f>
        <v>2013</v>
      </c>
      <c r="H72" s="442">
        <f>2636+Scotlandptsagainst</f>
        <v>2757</v>
      </c>
      <c r="I72" s="439">
        <f>166+Scotlandtriesscored</f>
        <v>177</v>
      </c>
      <c r="J72" s="439"/>
      <c r="K72" s="439">
        <v>0</v>
      </c>
      <c r="L72" s="439">
        <v>0</v>
      </c>
      <c r="M72" s="439">
        <v>0</v>
      </c>
      <c r="N72" s="439">
        <v>4</v>
      </c>
    </row>
    <row r="73" spans="1:14" x14ac:dyDescent="0.25">
      <c r="A73" s="439" t="s">
        <v>32</v>
      </c>
      <c r="B73" s="442">
        <f>110+Walesplayed</f>
        <v>115</v>
      </c>
      <c r="C73" s="442">
        <f>62+Waleswon</f>
        <v>63</v>
      </c>
      <c r="D73" s="442">
        <f>45+Waleslost</f>
        <v>49</v>
      </c>
      <c r="E73" s="442">
        <f>3+Walesdrawn</f>
        <v>3</v>
      </c>
      <c r="F73" s="443">
        <f t="shared" si="6"/>
        <v>0.56086956521739129</v>
      </c>
      <c r="G73" s="442">
        <f>2602+Walesptsscored</f>
        <v>2678</v>
      </c>
      <c r="H73" s="442">
        <f>2246+Walesptsagainst</f>
        <v>2350</v>
      </c>
      <c r="I73" s="442">
        <f>247+Walestriesscored</f>
        <v>255</v>
      </c>
      <c r="J73" s="442"/>
      <c r="K73" s="439">
        <v>6</v>
      </c>
      <c r="L73" s="439">
        <v>4</v>
      </c>
      <c r="M73" s="439">
        <v>5</v>
      </c>
      <c r="N73" s="439">
        <v>1</v>
      </c>
    </row>
    <row r="74" spans="1:14" x14ac:dyDescent="0.25">
      <c r="A74" s="438" t="s">
        <v>393</v>
      </c>
      <c r="B74" s="439"/>
      <c r="C74" s="439"/>
      <c r="D74" s="439"/>
      <c r="E74" s="439"/>
      <c r="F74" s="439"/>
      <c r="G74" s="439"/>
      <c r="H74" s="439"/>
      <c r="I74" s="439"/>
      <c r="J74" s="728"/>
      <c r="K74" s="728"/>
      <c r="L74" s="728"/>
      <c r="M74" s="728"/>
      <c r="N74" s="728"/>
    </row>
    <row r="75" spans="1:14" x14ac:dyDescent="0.25">
      <c r="A75" s="455" t="s">
        <v>28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T18"/>
  <sheetViews>
    <sheetView zoomScaleNormal="100" workbookViewId="0">
      <pane ySplit="2" topLeftCell="A3" activePane="bottomLeft" state="frozen"/>
      <selection pane="bottomLeft" activeCell="U6" sqref="U6"/>
    </sheetView>
  </sheetViews>
  <sheetFormatPr defaultRowHeight="14.3" x14ac:dyDescent="0.25"/>
  <cols>
    <col min="1" max="1" width="7.5" customWidth="1"/>
    <col min="2" max="2" width="4.5" bestFit="1" customWidth="1"/>
    <col min="3" max="3" width="12.5" customWidth="1"/>
    <col min="4" max="4" width="4.875" customWidth="1"/>
    <col min="5" max="5" width="3.625" customWidth="1"/>
    <col min="6" max="6" width="4" bestFit="1" customWidth="1"/>
    <col min="7" max="18" width="3.625" customWidth="1"/>
    <col min="19" max="20" width="6.375" customWidth="1"/>
    <col min="21" max="21" width="25.625" customWidth="1"/>
    <col min="22" max="22" width="24.375" bestFit="1" customWidth="1"/>
    <col min="23" max="23" width="25.5" customWidth="1"/>
    <col min="24" max="24" width="25.875" bestFit="1" customWidth="1"/>
    <col min="25" max="40" width="3.625" customWidth="1"/>
    <col min="42" max="42" width="13.125" bestFit="1" customWidth="1"/>
    <col min="45" max="45" width="13.125" bestFit="1" customWidth="1"/>
  </cols>
  <sheetData>
    <row r="1" spans="1:46" ht="14.95" customHeight="1" thickBot="1" x14ac:dyDescent="0.3">
      <c r="A1" s="796" t="s">
        <v>199</v>
      </c>
      <c r="B1" s="797"/>
      <c r="C1" s="797"/>
      <c r="D1" s="150"/>
      <c r="E1" s="798" t="s">
        <v>24</v>
      </c>
      <c r="F1" s="799"/>
      <c r="G1" s="800"/>
      <c r="H1" s="798" t="s">
        <v>23</v>
      </c>
      <c r="I1" s="800"/>
      <c r="J1" s="793" t="s">
        <v>6</v>
      </c>
      <c r="K1" s="794"/>
      <c r="L1" s="794"/>
      <c r="M1" s="795"/>
      <c r="N1" s="793" t="s">
        <v>7</v>
      </c>
      <c r="O1" s="795"/>
      <c r="P1" s="793" t="s">
        <v>25</v>
      </c>
      <c r="Q1" s="794"/>
      <c r="R1" s="795"/>
      <c r="S1" s="399" t="s">
        <v>8</v>
      </c>
      <c r="T1" s="399" t="s">
        <v>9</v>
      </c>
      <c r="U1" s="29" t="s">
        <v>10</v>
      </c>
      <c r="V1" s="28" t="s">
        <v>11</v>
      </c>
      <c r="W1" s="30" t="s">
        <v>26</v>
      </c>
      <c r="X1" s="170" t="s">
        <v>27</v>
      </c>
      <c r="Y1" s="792" t="s">
        <v>20</v>
      </c>
      <c r="Z1" s="753"/>
      <c r="AA1" s="753"/>
      <c r="AB1" s="754"/>
      <c r="AC1" s="792" t="s">
        <v>61</v>
      </c>
      <c r="AD1" s="753"/>
      <c r="AE1" s="753"/>
      <c r="AF1" s="754"/>
      <c r="AG1" s="792" t="s">
        <v>62</v>
      </c>
      <c r="AH1" s="753"/>
      <c r="AI1" s="753"/>
      <c r="AJ1" s="754"/>
      <c r="AK1" s="792" t="s">
        <v>63</v>
      </c>
      <c r="AL1" s="753"/>
      <c r="AM1" s="753"/>
      <c r="AN1" s="754"/>
      <c r="AP1" s="392" t="s">
        <v>144</v>
      </c>
      <c r="AQ1" s="14"/>
      <c r="AS1" s="392" t="s">
        <v>144</v>
      </c>
    </row>
    <row r="2" spans="1:46" ht="14.95" customHeight="1" thickBot="1" x14ac:dyDescent="0.3">
      <c r="A2" s="31" t="s">
        <v>19</v>
      </c>
      <c r="B2" s="32" t="s">
        <v>18</v>
      </c>
      <c r="C2" s="33" t="s">
        <v>17</v>
      </c>
      <c r="D2" s="33" t="s">
        <v>41</v>
      </c>
      <c r="E2" s="34" t="s">
        <v>16</v>
      </c>
      <c r="F2" s="34" t="s">
        <v>4</v>
      </c>
      <c r="G2" s="34" t="s">
        <v>5</v>
      </c>
      <c r="H2" s="35" t="s">
        <v>12</v>
      </c>
      <c r="I2" s="35" t="s">
        <v>3</v>
      </c>
      <c r="J2" s="35" t="s">
        <v>12</v>
      </c>
      <c r="K2" s="35" t="s">
        <v>13</v>
      </c>
      <c r="L2" s="35" t="s">
        <v>2</v>
      </c>
      <c r="M2" s="35" t="s">
        <v>14</v>
      </c>
      <c r="N2" s="35" t="s">
        <v>15</v>
      </c>
      <c r="O2" s="35" t="s">
        <v>16</v>
      </c>
      <c r="P2" s="35" t="s">
        <v>21</v>
      </c>
      <c r="Q2" s="35" t="s">
        <v>22</v>
      </c>
      <c r="R2" s="35" t="s">
        <v>12</v>
      </c>
      <c r="S2" s="36"/>
      <c r="T2" s="37"/>
      <c r="U2" s="38"/>
      <c r="V2" s="36"/>
      <c r="W2" s="39"/>
      <c r="X2" s="40"/>
      <c r="Y2" s="28" t="s">
        <v>0</v>
      </c>
      <c r="Z2" s="28" t="s">
        <v>1</v>
      </c>
      <c r="AA2" s="28" t="s">
        <v>2</v>
      </c>
      <c r="AB2" s="28" t="s">
        <v>3</v>
      </c>
      <c r="AC2" s="28" t="s">
        <v>0</v>
      </c>
      <c r="AD2" s="28" t="s">
        <v>1</v>
      </c>
      <c r="AE2" s="28" t="s">
        <v>2</v>
      </c>
      <c r="AF2" s="28" t="s">
        <v>3</v>
      </c>
      <c r="AG2" s="28" t="s">
        <v>0</v>
      </c>
      <c r="AH2" s="28" t="s">
        <v>1</v>
      </c>
      <c r="AI2" s="28" t="s">
        <v>2</v>
      </c>
      <c r="AJ2" s="28" t="s">
        <v>3</v>
      </c>
      <c r="AK2" s="28" t="s">
        <v>0</v>
      </c>
      <c r="AL2" s="28" t="s">
        <v>1</v>
      </c>
      <c r="AM2" s="28" t="s">
        <v>2</v>
      </c>
      <c r="AN2" s="28" t="s">
        <v>3</v>
      </c>
      <c r="AP2" s="367" t="s">
        <v>107</v>
      </c>
      <c r="AQ2" s="204"/>
      <c r="AS2" s="368" t="s">
        <v>130</v>
      </c>
      <c r="AT2" s="204" t="s">
        <v>58</v>
      </c>
    </row>
    <row r="3" spans="1:46" ht="14.95" customHeight="1" thickBot="1" x14ac:dyDescent="0.35">
      <c r="A3" s="682">
        <v>44744</v>
      </c>
      <c r="B3" s="628" t="s">
        <v>45</v>
      </c>
      <c r="C3" s="529" t="s">
        <v>361</v>
      </c>
      <c r="D3" s="529" t="s">
        <v>524</v>
      </c>
      <c r="E3" s="530" t="s">
        <v>1</v>
      </c>
      <c r="F3" s="530">
        <v>45</v>
      </c>
      <c r="G3" s="530">
        <v>0</v>
      </c>
      <c r="H3" s="530" t="s">
        <v>106</v>
      </c>
      <c r="I3" s="530" t="s">
        <v>106</v>
      </c>
      <c r="J3" s="530">
        <v>6</v>
      </c>
      <c r="K3" s="530">
        <v>6</v>
      </c>
      <c r="L3" s="530">
        <v>0</v>
      </c>
      <c r="M3" s="530">
        <v>1</v>
      </c>
      <c r="N3" s="530">
        <v>1</v>
      </c>
      <c r="O3" s="530">
        <v>0</v>
      </c>
      <c r="P3" s="530" t="s">
        <v>106</v>
      </c>
      <c r="Q3" s="530" t="s">
        <v>106</v>
      </c>
      <c r="R3" s="530">
        <v>0</v>
      </c>
      <c r="S3" s="531">
        <v>4412</v>
      </c>
      <c r="T3" s="543" t="s">
        <v>257</v>
      </c>
      <c r="U3" s="533" t="s">
        <v>457</v>
      </c>
      <c r="V3" s="531" t="s">
        <v>525</v>
      </c>
      <c r="W3" s="534" t="s">
        <v>526</v>
      </c>
      <c r="X3" s="535" t="s">
        <v>527</v>
      </c>
      <c r="Y3" s="536">
        <v>1</v>
      </c>
      <c r="Z3" s="536">
        <v>1</v>
      </c>
      <c r="AA3" s="536">
        <v>0</v>
      </c>
      <c r="AB3" s="537">
        <v>0</v>
      </c>
      <c r="AC3" s="536">
        <v>1</v>
      </c>
      <c r="AD3" s="536">
        <v>1</v>
      </c>
      <c r="AE3" s="536">
        <v>0</v>
      </c>
      <c r="AF3" s="537">
        <v>0</v>
      </c>
      <c r="AG3" s="536">
        <v>0</v>
      </c>
      <c r="AH3" s="536">
        <v>0</v>
      </c>
      <c r="AI3" s="536">
        <v>0</v>
      </c>
      <c r="AJ3" s="537">
        <v>0</v>
      </c>
      <c r="AK3" s="536">
        <v>0</v>
      </c>
      <c r="AL3" s="536">
        <v>0</v>
      </c>
      <c r="AM3" s="536">
        <v>0</v>
      </c>
      <c r="AN3" s="537">
        <v>0</v>
      </c>
      <c r="AP3" s="386" t="s">
        <v>132</v>
      </c>
      <c r="AQ3" s="387">
        <f>Canadaalltestshistplayed</f>
        <v>289</v>
      </c>
      <c r="AS3" s="386" t="s">
        <v>132</v>
      </c>
      <c r="AT3" s="387">
        <f>CanadaRWChistplayed</f>
        <v>32</v>
      </c>
    </row>
    <row r="4" spans="1:46" ht="14.95" customHeight="1" thickBot="1" x14ac:dyDescent="0.3">
      <c r="A4" s="682">
        <v>44752</v>
      </c>
      <c r="B4" s="546" t="s">
        <v>45</v>
      </c>
      <c r="C4" s="529" t="s">
        <v>124</v>
      </c>
      <c r="D4" s="529" t="s">
        <v>588</v>
      </c>
      <c r="E4" s="530" t="s">
        <v>3</v>
      </c>
      <c r="F4" s="530">
        <v>34</v>
      </c>
      <c r="G4" s="530">
        <v>57</v>
      </c>
      <c r="H4" s="530" t="s">
        <v>106</v>
      </c>
      <c r="I4" s="530" t="s">
        <v>106</v>
      </c>
      <c r="J4" s="530">
        <v>4</v>
      </c>
      <c r="K4" s="530">
        <v>4</v>
      </c>
      <c r="L4" s="530">
        <v>0</v>
      </c>
      <c r="M4" s="530">
        <v>2</v>
      </c>
      <c r="N4" s="530">
        <v>0</v>
      </c>
      <c r="O4" s="530">
        <v>0</v>
      </c>
      <c r="P4" s="530" t="s">
        <v>106</v>
      </c>
      <c r="Q4" s="530" t="s">
        <v>106</v>
      </c>
      <c r="R4" s="530">
        <v>9</v>
      </c>
      <c r="S4" s="534">
        <v>3000</v>
      </c>
      <c r="T4" s="538" t="s">
        <v>590</v>
      </c>
      <c r="U4" s="534" t="s">
        <v>324</v>
      </c>
      <c r="V4" s="534" t="s">
        <v>259</v>
      </c>
      <c r="W4" s="534" t="s">
        <v>526</v>
      </c>
      <c r="X4" s="535" t="s">
        <v>527</v>
      </c>
      <c r="Y4" s="536">
        <v>1</v>
      </c>
      <c r="Z4" s="536">
        <v>0</v>
      </c>
      <c r="AA4" s="536">
        <v>0</v>
      </c>
      <c r="AB4" s="537">
        <v>1</v>
      </c>
      <c r="AC4" s="536">
        <v>1</v>
      </c>
      <c r="AD4" s="536">
        <v>0</v>
      </c>
      <c r="AE4" s="536">
        <v>0</v>
      </c>
      <c r="AF4" s="537">
        <v>1</v>
      </c>
      <c r="AG4" s="536">
        <v>0</v>
      </c>
      <c r="AH4" s="536">
        <v>0</v>
      </c>
      <c r="AI4" s="536">
        <v>0</v>
      </c>
      <c r="AJ4" s="537">
        <v>0</v>
      </c>
      <c r="AK4" s="536">
        <v>0</v>
      </c>
      <c r="AL4" s="536">
        <v>0</v>
      </c>
      <c r="AM4" s="536">
        <v>0</v>
      </c>
      <c r="AN4" s="537">
        <v>0</v>
      </c>
      <c r="AP4" s="388" t="s">
        <v>133</v>
      </c>
      <c r="AQ4" s="389">
        <f>Canadaalltestshistwon</f>
        <v>112</v>
      </c>
      <c r="AS4" s="388" t="s">
        <v>133</v>
      </c>
      <c r="AT4" s="389">
        <f>CanadaRWChistwon</f>
        <v>7</v>
      </c>
    </row>
    <row r="5" spans="1:46" ht="14.95" customHeight="1" thickBot="1" x14ac:dyDescent="0.3">
      <c r="A5" s="518">
        <v>44877</v>
      </c>
      <c r="B5" s="517" t="s">
        <v>45</v>
      </c>
      <c r="C5" s="562" t="s">
        <v>190</v>
      </c>
      <c r="D5" s="517" t="s">
        <v>196</v>
      </c>
      <c r="E5" s="504" t="s">
        <v>1</v>
      </c>
      <c r="F5" s="504">
        <v>37</v>
      </c>
      <c r="G5" s="504">
        <v>25</v>
      </c>
      <c r="H5" s="504" t="s">
        <v>106</v>
      </c>
      <c r="I5" s="504" t="s">
        <v>106</v>
      </c>
      <c r="J5" s="504">
        <v>4</v>
      </c>
      <c r="K5" s="504">
        <v>4</v>
      </c>
      <c r="L5" s="504">
        <v>0</v>
      </c>
      <c r="M5" s="504">
        <v>3</v>
      </c>
      <c r="N5" s="504">
        <v>0</v>
      </c>
      <c r="O5" s="504">
        <v>0</v>
      </c>
      <c r="P5" s="504" t="s">
        <v>106</v>
      </c>
      <c r="Q5" s="504" t="s">
        <v>106</v>
      </c>
      <c r="R5" s="504">
        <v>3</v>
      </c>
      <c r="S5" s="506"/>
      <c r="T5" s="680" t="s">
        <v>499</v>
      </c>
      <c r="U5" s="506" t="s">
        <v>802</v>
      </c>
      <c r="V5" s="506" t="s">
        <v>358</v>
      </c>
      <c r="W5" s="506" t="s">
        <v>804</v>
      </c>
      <c r="X5" s="506" t="s">
        <v>803</v>
      </c>
      <c r="Y5" s="509">
        <v>1</v>
      </c>
      <c r="Z5" s="510">
        <v>1</v>
      </c>
      <c r="AA5" s="510">
        <v>0</v>
      </c>
      <c r="AB5" s="510">
        <v>0</v>
      </c>
      <c r="AC5" s="510">
        <v>0</v>
      </c>
      <c r="AD5" s="510">
        <v>0</v>
      </c>
      <c r="AE5" s="510">
        <v>0</v>
      </c>
      <c r="AF5" s="510">
        <v>0</v>
      </c>
      <c r="AG5" s="510">
        <v>1</v>
      </c>
      <c r="AH5" s="510">
        <v>1</v>
      </c>
      <c r="AI5" s="510">
        <v>0</v>
      </c>
      <c r="AJ5" s="510">
        <v>0</v>
      </c>
      <c r="AK5" s="510">
        <v>0</v>
      </c>
      <c r="AL5" s="510">
        <v>0</v>
      </c>
      <c r="AM5" s="510">
        <v>0</v>
      </c>
      <c r="AN5" s="510">
        <v>0</v>
      </c>
      <c r="AP5" s="388" t="s">
        <v>139</v>
      </c>
      <c r="AQ5" s="389">
        <f>Canadaalltestshistdrawn</f>
        <v>6</v>
      </c>
      <c r="AS5" s="388" t="s">
        <v>139</v>
      </c>
      <c r="AT5" s="389">
        <f>CanadaRWChistdrawn</f>
        <v>2</v>
      </c>
    </row>
    <row r="6" spans="1:46" ht="14.95" customHeight="1" thickBot="1" x14ac:dyDescent="0.3">
      <c r="A6" s="619">
        <v>44884</v>
      </c>
      <c r="B6" s="620" t="s">
        <v>45</v>
      </c>
      <c r="C6" s="620" t="s">
        <v>122</v>
      </c>
      <c r="D6" s="620" t="s">
        <v>196</v>
      </c>
      <c r="E6" s="566" t="s">
        <v>3</v>
      </c>
      <c r="F6" s="566">
        <v>37</v>
      </c>
      <c r="G6" s="566">
        <v>43</v>
      </c>
      <c r="H6" s="566" t="s">
        <v>106</v>
      </c>
      <c r="I6" s="566" t="s">
        <v>106</v>
      </c>
      <c r="J6" s="566">
        <v>4</v>
      </c>
      <c r="K6" s="566">
        <v>4</v>
      </c>
      <c r="L6" s="566">
        <v>0</v>
      </c>
      <c r="M6" s="566">
        <v>3</v>
      </c>
      <c r="N6" s="566">
        <v>0</v>
      </c>
      <c r="O6" s="566">
        <v>0</v>
      </c>
      <c r="P6" s="566" t="s">
        <v>106</v>
      </c>
      <c r="Q6" s="566" t="s">
        <v>106</v>
      </c>
      <c r="R6" s="566">
        <v>7</v>
      </c>
      <c r="S6" s="579"/>
      <c r="T6" s="723" t="s">
        <v>869</v>
      </c>
      <c r="U6" s="579" t="s">
        <v>448</v>
      </c>
      <c r="V6" s="579" t="s">
        <v>534</v>
      </c>
      <c r="W6" s="579" t="s">
        <v>278</v>
      </c>
      <c r="X6" s="579" t="s">
        <v>802</v>
      </c>
      <c r="Y6" s="567">
        <v>1</v>
      </c>
      <c r="Z6" s="567">
        <v>0</v>
      </c>
      <c r="AA6" s="567">
        <v>0</v>
      </c>
      <c r="AB6" s="567">
        <v>1</v>
      </c>
      <c r="AC6" s="567">
        <v>1</v>
      </c>
      <c r="AD6" s="567">
        <v>0</v>
      </c>
      <c r="AE6" s="567">
        <v>0</v>
      </c>
      <c r="AF6" s="567">
        <v>1</v>
      </c>
      <c r="AG6" s="567">
        <v>0</v>
      </c>
      <c r="AH6" s="567">
        <v>0</v>
      </c>
      <c r="AI6" s="567">
        <v>0</v>
      </c>
      <c r="AJ6" s="567">
        <v>0</v>
      </c>
      <c r="AK6" s="567">
        <v>1</v>
      </c>
      <c r="AL6" s="567">
        <v>0</v>
      </c>
      <c r="AM6" s="567">
        <v>0</v>
      </c>
      <c r="AN6" s="567">
        <v>1</v>
      </c>
      <c r="AP6" s="388" t="s">
        <v>134</v>
      </c>
      <c r="AQ6" s="389">
        <f>Canadaalltestshistlost</f>
        <v>171</v>
      </c>
      <c r="AS6" s="388" t="s">
        <v>134</v>
      </c>
      <c r="AT6" s="389">
        <f>CanadaRWChistlost</f>
        <v>23</v>
      </c>
    </row>
    <row r="7" spans="1:46" ht="14.95" customHeight="1" thickBot="1" x14ac:dyDescent="0.3">
      <c r="A7" s="611"/>
      <c r="B7" s="191"/>
      <c r="C7" s="771" t="s">
        <v>173</v>
      </c>
      <c r="D7" s="801"/>
      <c r="E7" s="802"/>
      <c r="F7" s="602">
        <f>SUM(F3:F6)</f>
        <v>153</v>
      </c>
      <c r="G7" s="602">
        <f>SUM(G3:G6)</f>
        <v>125</v>
      </c>
      <c r="H7" s="602" t="s">
        <v>106</v>
      </c>
      <c r="I7" s="602" t="s">
        <v>106</v>
      </c>
      <c r="J7" s="602">
        <f t="shared" ref="J7:O7" si="0">SUM(J3:J6)</f>
        <v>18</v>
      </c>
      <c r="K7" s="602">
        <f t="shared" si="0"/>
        <v>18</v>
      </c>
      <c r="L7" s="602">
        <f t="shared" si="0"/>
        <v>0</v>
      </c>
      <c r="M7" s="602">
        <f t="shared" si="0"/>
        <v>9</v>
      </c>
      <c r="N7" s="602">
        <f t="shared" si="0"/>
        <v>1</v>
      </c>
      <c r="O7" s="602">
        <f t="shared" si="0"/>
        <v>0</v>
      </c>
      <c r="P7" s="602" t="s">
        <v>106</v>
      </c>
      <c r="Q7" s="602" t="s">
        <v>106</v>
      </c>
      <c r="R7" s="602">
        <f>SUM(R3:R6)</f>
        <v>19</v>
      </c>
      <c r="S7" s="599"/>
      <c r="T7" s="599"/>
      <c r="U7" s="599"/>
      <c r="V7" s="599"/>
      <c r="W7" s="600"/>
      <c r="X7" s="609" t="s">
        <v>173</v>
      </c>
      <c r="Y7" s="602">
        <f t="shared" ref="Y7:AN7" si="1">SUM(Y3:Y6)</f>
        <v>4</v>
      </c>
      <c r="Z7" s="602">
        <f t="shared" si="1"/>
        <v>2</v>
      </c>
      <c r="AA7" s="602">
        <f t="shared" si="1"/>
        <v>0</v>
      </c>
      <c r="AB7" s="602">
        <f t="shared" si="1"/>
        <v>2</v>
      </c>
      <c r="AC7" s="603">
        <f t="shared" si="1"/>
        <v>3</v>
      </c>
      <c r="AD7" s="603">
        <f t="shared" si="1"/>
        <v>1</v>
      </c>
      <c r="AE7" s="603">
        <f t="shared" si="1"/>
        <v>0</v>
      </c>
      <c r="AF7" s="603">
        <f t="shared" si="1"/>
        <v>2</v>
      </c>
      <c r="AG7" s="604">
        <f t="shared" si="1"/>
        <v>1</v>
      </c>
      <c r="AH7" s="604">
        <f t="shared" si="1"/>
        <v>1</v>
      </c>
      <c r="AI7" s="604">
        <f t="shared" si="1"/>
        <v>0</v>
      </c>
      <c r="AJ7" s="604">
        <f t="shared" si="1"/>
        <v>0</v>
      </c>
      <c r="AK7" s="602">
        <f t="shared" si="1"/>
        <v>1</v>
      </c>
      <c r="AL7" s="602">
        <f t="shared" si="1"/>
        <v>0</v>
      </c>
      <c r="AM7" s="602">
        <f t="shared" si="1"/>
        <v>0</v>
      </c>
      <c r="AN7" s="602">
        <f t="shared" si="1"/>
        <v>1</v>
      </c>
      <c r="AP7" s="388" t="s">
        <v>140</v>
      </c>
      <c r="AQ7" s="389">
        <f>Canadaalltestshistptsscored</f>
        <v>6085</v>
      </c>
      <c r="AS7" s="388" t="s">
        <v>140</v>
      </c>
      <c r="AT7" s="389">
        <f>CanadaRWChistptsscored</f>
        <v>541</v>
      </c>
    </row>
    <row r="8" spans="1:46" ht="14.95" customHeight="1" thickBot="1" x14ac:dyDescent="0.3">
      <c r="A8" s="310"/>
      <c r="B8" s="311"/>
      <c r="C8" s="760" t="s">
        <v>107</v>
      </c>
      <c r="D8" s="761"/>
      <c r="E8" s="762"/>
      <c r="F8" s="422">
        <f t="shared" ref="F8:R8" si="2">SUM(F3:F6)</f>
        <v>153</v>
      </c>
      <c r="G8" s="422">
        <f t="shared" si="2"/>
        <v>125</v>
      </c>
      <c r="H8" s="422">
        <f t="shared" si="2"/>
        <v>0</v>
      </c>
      <c r="I8" s="422">
        <f t="shared" si="2"/>
        <v>0</v>
      </c>
      <c r="J8" s="422">
        <f t="shared" si="2"/>
        <v>18</v>
      </c>
      <c r="K8" s="422">
        <f t="shared" si="2"/>
        <v>18</v>
      </c>
      <c r="L8" s="422">
        <f t="shared" si="2"/>
        <v>0</v>
      </c>
      <c r="M8" s="422">
        <f t="shared" si="2"/>
        <v>9</v>
      </c>
      <c r="N8" s="422">
        <f t="shared" si="2"/>
        <v>1</v>
      </c>
      <c r="O8" s="422">
        <f t="shared" si="2"/>
        <v>0</v>
      </c>
      <c r="P8" s="422">
        <f t="shared" si="2"/>
        <v>0</v>
      </c>
      <c r="Q8" s="422">
        <f t="shared" si="2"/>
        <v>0</v>
      </c>
      <c r="R8" s="422">
        <f t="shared" si="2"/>
        <v>19</v>
      </c>
      <c r="S8" s="419"/>
      <c r="T8" s="419"/>
      <c r="U8" s="419"/>
      <c r="V8" s="419"/>
      <c r="W8" s="13"/>
      <c r="X8" s="447" t="s">
        <v>107</v>
      </c>
      <c r="Y8" s="422">
        <f t="shared" ref="Y8:AN8" si="3">SUM(Y3:Y6)</f>
        <v>4</v>
      </c>
      <c r="Z8" s="422">
        <f t="shared" si="3"/>
        <v>2</v>
      </c>
      <c r="AA8" s="422">
        <f t="shared" si="3"/>
        <v>0</v>
      </c>
      <c r="AB8" s="422">
        <f t="shared" si="3"/>
        <v>2</v>
      </c>
      <c r="AC8" s="420">
        <f t="shared" si="3"/>
        <v>3</v>
      </c>
      <c r="AD8" s="420">
        <f t="shared" si="3"/>
        <v>1</v>
      </c>
      <c r="AE8" s="420">
        <f t="shared" si="3"/>
        <v>0</v>
      </c>
      <c r="AF8" s="420">
        <f t="shared" si="3"/>
        <v>2</v>
      </c>
      <c r="AG8" s="421">
        <f t="shared" si="3"/>
        <v>1</v>
      </c>
      <c r="AH8" s="421">
        <f t="shared" si="3"/>
        <v>1</v>
      </c>
      <c r="AI8" s="421">
        <f t="shared" si="3"/>
        <v>0</v>
      </c>
      <c r="AJ8" s="421">
        <f t="shared" si="3"/>
        <v>0</v>
      </c>
      <c r="AK8" s="422">
        <f t="shared" si="3"/>
        <v>1</v>
      </c>
      <c r="AL8" s="422">
        <f t="shared" si="3"/>
        <v>0</v>
      </c>
      <c r="AM8" s="422">
        <f t="shared" si="3"/>
        <v>0</v>
      </c>
      <c r="AN8" s="422">
        <f t="shared" si="3"/>
        <v>1</v>
      </c>
      <c r="AP8" s="388" t="s">
        <v>141</v>
      </c>
      <c r="AQ8" s="389">
        <f>Canadaalltestshistptsagainst</f>
        <v>7625</v>
      </c>
      <c r="AS8" s="388" t="s">
        <v>141</v>
      </c>
      <c r="AT8" s="389">
        <f>CanadaRWChistptsagainst</f>
        <v>1015</v>
      </c>
    </row>
    <row r="9" spans="1:46" ht="14.95" customHeight="1" thickBot="1" x14ac:dyDescent="0.3">
      <c r="A9" s="788" t="s">
        <v>589</v>
      </c>
      <c r="B9" s="743"/>
      <c r="C9" s="743"/>
      <c r="D9" s="743"/>
      <c r="E9" s="743"/>
      <c r="F9" s="743"/>
      <c r="G9" s="743"/>
      <c r="H9" s="743"/>
      <c r="I9" s="743"/>
      <c r="J9" s="743"/>
      <c r="K9" s="743"/>
      <c r="L9" s="743"/>
      <c r="M9" s="743"/>
      <c r="N9" s="743"/>
      <c r="O9" s="743"/>
      <c r="P9" s="743"/>
      <c r="Q9" s="743"/>
      <c r="R9" s="743"/>
      <c r="S9" s="743"/>
      <c r="T9" s="743"/>
      <c r="U9" s="743"/>
      <c r="V9" s="743"/>
      <c r="W9" s="743"/>
      <c r="X9" s="743"/>
      <c r="Y9" s="743"/>
      <c r="Z9" s="743"/>
      <c r="AA9" s="743"/>
      <c r="AB9" s="743"/>
      <c r="AC9" s="743"/>
      <c r="AD9" s="743"/>
      <c r="AE9" s="743"/>
      <c r="AF9" s="743"/>
      <c r="AG9" s="743"/>
      <c r="AH9" s="743"/>
      <c r="AI9" s="743"/>
      <c r="AJ9" s="743"/>
      <c r="AK9" s="743"/>
      <c r="AL9" s="743"/>
      <c r="AM9" s="743"/>
      <c r="AN9" s="743"/>
      <c r="AP9" s="388" t="s">
        <v>131</v>
      </c>
      <c r="AQ9" s="389">
        <f>Canadaalltestshisttriesscored</f>
        <v>650</v>
      </c>
      <c r="AS9" s="388" t="s">
        <v>131</v>
      </c>
      <c r="AT9" s="389">
        <f>CanadaRWChisttriesscored</f>
        <v>58</v>
      </c>
    </row>
    <row r="10" spans="1:46" ht="14.95" customHeight="1" x14ac:dyDescent="0.25">
      <c r="A10" t="s">
        <v>221</v>
      </c>
      <c r="AP10" s="790" t="s">
        <v>185</v>
      </c>
      <c r="AQ10" s="791"/>
      <c r="AR10" s="791"/>
      <c r="AS10" s="791"/>
      <c r="AT10" s="791"/>
    </row>
    <row r="11" spans="1:46" x14ac:dyDescent="0.25">
      <c r="A11" s="788"/>
      <c r="B11" s="789"/>
      <c r="C11" s="789"/>
      <c r="D11" s="789"/>
      <c r="E11" s="789"/>
      <c r="F11" s="789"/>
      <c r="G11" s="789"/>
      <c r="H11" s="789"/>
      <c r="I11" s="789"/>
      <c r="J11" s="789"/>
      <c r="K11" s="789"/>
      <c r="L11" s="789"/>
      <c r="M11" s="789"/>
      <c r="N11" s="789"/>
      <c r="O11" s="789"/>
      <c r="P11" s="789"/>
      <c r="Q11" s="789"/>
      <c r="R11" s="789"/>
    </row>
    <row r="12" spans="1:46" x14ac:dyDescent="0.25">
      <c r="A12" s="681"/>
    </row>
    <row r="13" spans="1:46" x14ac:dyDescent="0.25">
      <c r="A13" s="681"/>
    </row>
    <row r="14" spans="1:46" x14ac:dyDescent="0.25">
      <c r="A14" s="626" t="s">
        <v>167</v>
      </c>
    </row>
    <row r="15" spans="1:46" ht="14.95" customHeight="1" x14ac:dyDescent="0.25">
      <c r="A15" s="155"/>
      <c r="B15" t="s">
        <v>44</v>
      </c>
    </row>
    <row r="16" spans="1:46" ht="14.95" customHeight="1" x14ac:dyDescent="0.25">
      <c r="A16" s="153"/>
      <c r="B16" t="s">
        <v>42</v>
      </c>
    </row>
    <row r="17" spans="1:2" ht="14.95" customHeight="1" x14ac:dyDescent="0.25">
      <c r="A17" s="154"/>
      <c r="B17" t="s">
        <v>43</v>
      </c>
    </row>
    <row r="18" spans="1:2" x14ac:dyDescent="0.25">
      <c r="A18" s="15" t="s">
        <v>28</v>
      </c>
    </row>
  </sheetData>
  <mergeCells count="15">
    <mergeCell ref="A11:R11"/>
    <mergeCell ref="AP10:AT10"/>
    <mergeCell ref="A9:AN9"/>
    <mergeCell ref="Y1:AB1"/>
    <mergeCell ref="AC1:AF1"/>
    <mergeCell ref="AG1:AJ1"/>
    <mergeCell ref="AK1:AN1"/>
    <mergeCell ref="C8:E8"/>
    <mergeCell ref="P1:R1"/>
    <mergeCell ref="A1:C1"/>
    <mergeCell ref="E1:G1"/>
    <mergeCell ref="H1:I1"/>
    <mergeCell ref="J1:M1"/>
    <mergeCell ref="N1:O1"/>
    <mergeCell ref="C7:E7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T28"/>
  <sheetViews>
    <sheetView zoomScaleNormal="100" workbookViewId="0">
      <pane ySplit="2" topLeftCell="A3" activePane="bottomLeft" state="frozen"/>
      <selection pane="bottomLeft" activeCell="U4" sqref="U4"/>
    </sheetView>
  </sheetViews>
  <sheetFormatPr defaultRowHeight="14.3" x14ac:dyDescent="0.25"/>
  <cols>
    <col min="1" max="1" width="7.5" style="204" customWidth="1"/>
    <col min="2" max="2" width="4.5" style="204" bestFit="1" customWidth="1"/>
    <col min="3" max="3" width="11.5" style="204" customWidth="1"/>
    <col min="4" max="4" width="4.125" style="204" bestFit="1" customWidth="1"/>
    <col min="5" max="5" width="3.625" style="204" customWidth="1"/>
    <col min="6" max="7" width="4" style="204" bestFit="1" customWidth="1"/>
    <col min="8" max="18" width="3.625" style="204" customWidth="1"/>
    <col min="19" max="20" width="6.375" style="204" customWidth="1"/>
    <col min="21" max="21" width="30.5" style="204" bestFit="1" customWidth="1"/>
    <col min="22" max="22" width="22.5" style="204" bestFit="1" customWidth="1"/>
    <col min="23" max="23" width="27.5" style="204" bestFit="1" customWidth="1"/>
    <col min="24" max="24" width="30.5" style="204" customWidth="1"/>
    <col min="25" max="40" width="3.625" style="204" customWidth="1"/>
    <col min="42" max="42" width="13.125" bestFit="1" customWidth="1"/>
    <col min="45" max="45" width="13.125" bestFit="1" customWidth="1"/>
  </cols>
  <sheetData>
    <row r="1" spans="1:46" ht="14.95" customHeight="1" thickBot="1" x14ac:dyDescent="0.3">
      <c r="A1" s="812" t="s">
        <v>200</v>
      </c>
      <c r="B1" s="813"/>
      <c r="C1" s="813"/>
      <c r="D1" s="498"/>
      <c r="E1" s="814" t="s">
        <v>24</v>
      </c>
      <c r="F1" s="815"/>
      <c r="G1" s="816"/>
      <c r="H1" s="814" t="s">
        <v>165</v>
      </c>
      <c r="I1" s="816"/>
      <c r="J1" s="809" t="s">
        <v>6</v>
      </c>
      <c r="K1" s="810"/>
      <c r="L1" s="810"/>
      <c r="M1" s="811"/>
      <c r="N1" s="809" t="s">
        <v>7</v>
      </c>
      <c r="O1" s="811"/>
      <c r="P1" s="809" t="s">
        <v>25</v>
      </c>
      <c r="Q1" s="810"/>
      <c r="R1" s="811"/>
      <c r="S1" s="398" t="s">
        <v>8</v>
      </c>
      <c r="T1" s="398" t="s">
        <v>9</v>
      </c>
      <c r="U1" s="371" t="s">
        <v>10</v>
      </c>
      <c r="V1" s="371" t="s">
        <v>11</v>
      </c>
      <c r="W1" s="371" t="s">
        <v>26</v>
      </c>
      <c r="X1" s="371" t="s">
        <v>27</v>
      </c>
      <c r="Y1" s="803" t="s">
        <v>20</v>
      </c>
      <c r="Z1" s="804"/>
      <c r="AA1" s="804"/>
      <c r="AB1" s="805"/>
      <c r="AC1" s="803" t="s">
        <v>61</v>
      </c>
      <c r="AD1" s="804"/>
      <c r="AE1" s="804"/>
      <c r="AF1" s="805"/>
      <c r="AG1" s="803" t="s">
        <v>62</v>
      </c>
      <c r="AH1" s="804"/>
      <c r="AI1" s="804"/>
      <c r="AJ1" s="805"/>
      <c r="AK1" s="803" t="s">
        <v>63</v>
      </c>
      <c r="AL1" s="804"/>
      <c r="AM1" s="804"/>
      <c r="AN1" s="805"/>
      <c r="AP1" s="319" t="s">
        <v>145</v>
      </c>
      <c r="AQ1" s="397"/>
      <c r="AR1" s="397"/>
      <c r="AS1" s="319" t="s">
        <v>145</v>
      </c>
    </row>
    <row r="2" spans="1:46" ht="14.95" customHeight="1" thickBot="1" x14ac:dyDescent="0.3">
      <c r="A2" s="393" t="s">
        <v>19</v>
      </c>
      <c r="B2" s="282" t="s">
        <v>18</v>
      </c>
      <c r="C2" s="286" t="s">
        <v>17</v>
      </c>
      <c r="D2" s="286" t="s">
        <v>41</v>
      </c>
      <c r="E2" s="394" t="s">
        <v>16</v>
      </c>
      <c r="F2" s="394" t="s">
        <v>4</v>
      </c>
      <c r="G2" s="394" t="s">
        <v>5</v>
      </c>
      <c r="H2" s="395" t="s">
        <v>12</v>
      </c>
      <c r="I2" s="395" t="s">
        <v>3</v>
      </c>
      <c r="J2" s="395" t="s">
        <v>12</v>
      </c>
      <c r="K2" s="395" t="s">
        <v>13</v>
      </c>
      <c r="L2" s="395" t="s">
        <v>2</v>
      </c>
      <c r="M2" s="395" t="s">
        <v>14</v>
      </c>
      <c r="N2" s="395" t="s">
        <v>15</v>
      </c>
      <c r="O2" s="395" t="s">
        <v>16</v>
      </c>
      <c r="P2" s="395" t="s">
        <v>21</v>
      </c>
      <c r="Q2" s="395" t="s">
        <v>22</v>
      </c>
      <c r="R2" s="395" t="s">
        <v>12</v>
      </c>
      <c r="S2" s="588"/>
      <c r="T2" s="589"/>
      <c r="U2" s="590"/>
      <c r="V2" s="588"/>
      <c r="W2" s="371"/>
      <c r="X2" s="591"/>
      <c r="Y2" s="396" t="s">
        <v>0</v>
      </c>
      <c r="Z2" s="396" t="s">
        <v>1</v>
      </c>
      <c r="AA2" s="396" t="s">
        <v>2</v>
      </c>
      <c r="AB2" s="396" t="s">
        <v>3</v>
      </c>
      <c r="AC2" s="396" t="s">
        <v>0</v>
      </c>
      <c r="AD2" s="396" t="s">
        <v>1</v>
      </c>
      <c r="AE2" s="396" t="s">
        <v>2</v>
      </c>
      <c r="AF2" s="396" t="s">
        <v>3</v>
      </c>
      <c r="AG2" s="396" t="s">
        <v>0</v>
      </c>
      <c r="AH2" s="396" t="s">
        <v>1</v>
      </c>
      <c r="AI2" s="396" t="s">
        <v>2</v>
      </c>
      <c r="AJ2" s="396" t="s">
        <v>3</v>
      </c>
      <c r="AK2" s="396" t="s">
        <v>0</v>
      </c>
      <c r="AL2" s="396" t="s">
        <v>1</v>
      </c>
      <c r="AM2" s="396" t="s">
        <v>2</v>
      </c>
      <c r="AN2" s="396" t="s">
        <v>3</v>
      </c>
      <c r="AP2" s="367" t="s">
        <v>107</v>
      </c>
      <c r="AQ2" s="204"/>
      <c r="AS2" s="368" t="s">
        <v>130</v>
      </c>
      <c r="AT2" s="204"/>
    </row>
    <row r="3" spans="1:46" ht="14.95" customHeight="1" thickBot="1" x14ac:dyDescent="0.3">
      <c r="A3" s="501">
        <v>44597</v>
      </c>
      <c r="B3" s="503" t="s">
        <v>46</v>
      </c>
      <c r="C3" s="503" t="s">
        <v>35</v>
      </c>
      <c r="D3" s="503" t="s">
        <v>117</v>
      </c>
      <c r="E3" s="504" t="s">
        <v>3</v>
      </c>
      <c r="F3" s="504">
        <v>17</v>
      </c>
      <c r="G3" s="504">
        <v>20</v>
      </c>
      <c r="H3" s="504">
        <v>0</v>
      </c>
      <c r="I3" s="504">
        <v>1</v>
      </c>
      <c r="J3" s="504">
        <v>1</v>
      </c>
      <c r="K3" s="504">
        <v>0</v>
      </c>
      <c r="L3" s="504">
        <v>0</v>
      </c>
      <c r="M3" s="504">
        <v>4</v>
      </c>
      <c r="N3" s="504">
        <v>1</v>
      </c>
      <c r="O3" s="504">
        <v>0</v>
      </c>
      <c r="P3" s="504">
        <v>0</v>
      </c>
      <c r="Q3" s="504">
        <v>0</v>
      </c>
      <c r="R3" s="504">
        <v>2</v>
      </c>
      <c r="S3" s="511">
        <v>67144</v>
      </c>
      <c r="T3" s="524" t="s">
        <v>270</v>
      </c>
      <c r="U3" s="513" t="s">
        <v>266</v>
      </c>
      <c r="V3" s="511" t="s">
        <v>267</v>
      </c>
      <c r="W3" s="506" t="s">
        <v>268</v>
      </c>
      <c r="X3" s="514" t="s">
        <v>269</v>
      </c>
      <c r="Y3" s="509">
        <v>1</v>
      </c>
      <c r="Z3" s="509">
        <v>0</v>
      </c>
      <c r="AA3" s="509">
        <v>0</v>
      </c>
      <c r="AB3" s="510">
        <v>1</v>
      </c>
      <c r="AC3" s="509">
        <v>0</v>
      </c>
      <c r="AD3" s="509">
        <v>0</v>
      </c>
      <c r="AE3" s="509">
        <v>0</v>
      </c>
      <c r="AF3" s="510">
        <v>0</v>
      </c>
      <c r="AG3" s="509">
        <v>1</v>
      </c>
      <c r="AH3" s="509">
        <v>0</v>
      </c>
      <c r="AI3" s="509">
        <v>0</v>
      </c>
      <c r="AJ3" s="510">
        <v>1</v>
      </c>
      <c r="AK3" s="509">
        <v>0</v>
      </c>
      <c r="AL3" s="509">
        <v>0</v>
      </c>
      <c r="AM3" s="509">
        <v>0</v>
      </c>
      <c r="AN3" s="510">
        <v>0</v>
      </c>
      <c r="AP3" s="386" t="s">
        <v>132</v>
      </c>
      <c r="AQ3" s="387">
        <f>Englandalltestshistplayed</f>
        <v>773</v>
      </c>
      <c r="AS3" s="386" t="s">
        <v>132</v>
      </c>
      <c r="AT3" s="387">
        <f>EnglandRWChistplayed</f>
        <v>50</v>
      </c>
    </row>
    <row r="4" spans="1:46" ht="14.95" customHeight="1" thickBot="1" x14ac:dyDescent="0.35">
      <c r="A4" s="501">
        <v>44605</v>
      </c>
      <c r="B4" s="503" t="s">
        <v>46</v>
      </c>
      <c r="C4" s="503" t="s">
        <v>33</v>
      </c>
      <c r="D4" s="503" t="s">
        <v>114</v>
      </c>
      <c r="E4" s="504" t="s">
        <v>1</v>
      </c>
      <c r="F4" s="504">
        <v>33</v>
      </c>
      <c r="G4" s="504">
        <v>0</v>
      </c>
      <c r="H4" s="504">
        <v>1</v>
      </c>
      <c r="I4" s="504">
        <v>0</v>
      </c>
      <c r="J4" s="504">
        <v>5</v>
      </c>
      <c r="K4" s="504">
        <v>4</v>
      </c>
      <c r="L4" s="504">
        <v>0</v>
      </c>
      <c r="M4" s="504">
        <v>0</v>
      </c>
      <c r="N4" s="504">
        <v>0</v>
      </c>
      <c r="O4" s="504">
        <v>0</v>
      </c>
      <c r="P4" s="504">
        <v>0</v>
      </c>
      <c r="Q4" s="504">
        <v>0</v>
      </c>
      <c r="R4" s="504">
        <v>0</v>
      </c>
      <c r="S4" s="511">
        <v>29015</v>
      </c>
      <c r="T4" s="512" t="s">
        <v>315</v>
      </c>
      <c r="U4" s="513" t="s">
        <v>285</v>
      </c>
      <c r="V4" s="511" t="s">
        <v>312</v>
      </c>
      <c r="W4" s="506" t="s">
        <v>313</v>
      </c>
      <c r="X4" s="514" t="s">
        <v>314</v>
      </c>
      <c r="Y4" s="509">
        <v>1</v>
      </c>
      <c r="Z4" s="509">
        <v>1</v>
      </c>
      <c r="AA4" s="509">
        <v>0</v>
      </c>
      <c r="AB4" s="510">
        <v>0</v>
      </c>
      <c r="AC4" s="509">
        <v>0</v>
      </c>
      <c r="AD4" s="509">
        <v>0</v>
      </c>
      <c r="AE4" s="509">
        <v>0</v>
      </c>
      <c r="AF4" s="510">
        <v>0</v>
      </c>
      <c r="AG4" s="509">
        <v>1</v>
      </c>
      <c r="AH4" s="509">
        <v>1</v>
      </c>
      <c r="AI4" s="509">
        <v>0</v>
      </c>
      <c r="AJ4" s="510">
        <v>0</v>
      </c>
      <c r="AK4" s="509">
        <v>0</v>
      </c>
      <c r="AL4" s="509">
        <v>0</v>
      </c>
      <c r="AM4" s="509">
        <v>0</v>
      </c>
      <c r="AN4" s="510">
        <v>0</v>
      </c>
      <c r="AP4" s="388" t="s">
        <v>133</v>
      </c>
      <c r="AQ4" s="389">
        <f>Englandalltestshistwon</f>
        <v>431</v>
      </c>
      <c r="AS4" s="388" t="s">
        <v>133</v>
      </c>
      <c r="AT4" s="389">
        <f>EnglandRWChistwon</f>
        <v>36</v>
      </c>
    </row>
    <row r="5" spans="1:46" ht="14.95" customHeight="1" thickBot="1" x14ac:dyDescent="0.35">
      <c r="A5" s="528">
        <v>44618</v>
      </c>
      <c r="B5" s="529" t="s">
        <v>46</v>
      </c>
      <c r="C5" s="529" t="s">
        <v>32</v>
      </c>
      <c r="D5" s="529" t="s">
        <v>116</v>
      </c>
      <c r="E5" s="530" t="s">
        <v>1</v>
      </c>
      <c r="F5" s="530">
        <v>23</v>
      </c>
      <c r="G5" s="530">
        <v>19</v>
      </c>
      <c r="H5" s="530">
        <v>0</v>
      </c>
      <c r="I5" s="530">
        <v>0</v>
      </c>
      <c r="J5" s="530">
        <v>1</v>
      </c>
      <c r="K5" s="530">
        <v>0</v>
      </c>
      <c r="L5" s="530">
        <v>0</v>
      </c>
      <c r="M5" s="530">
        <v>6</v>
      </c>
      <c r="N5" s="530">
        <v>0</v>
      </c>
      <c r="O5" s="530">
        <v>0</v>
      </c>
      <c r="P5" s="530">
        <v>0</v>
      </c>
      <c r="Q5" s="530">
        <v>1</v>
      </c>
      <c r="R5" s="530">
        <v>3</v>
      </c>
      <c r="S5" s="531">
        <v>81621</v>
      </c>
      <c r="T5" s="543" t="s">
        <v>327</v>
      </c>
      <c r="U5" s="533" t="s">
        <v>282</v>
      </c>
      <c r="V5" s="531" t="s">
        <v>312</v>
      </c>
      <c r="W5" s="533" t="s">
        <v>260</v>
      </c>
      <c r="X5" s="534" t="s">
        <v>299</v>
      </c>
      <c r="Y5" s="536">
        <v>1</v>
      </c>
      <c r="Z5" s="536">
        <v>1</v>
      </c>
      <c r="AA5" s="536">
        <v>0</v>
      </c>
      <c r="AB5" s="537">
        <v>0</v>
      </c>
      <c r="AC5" s="536">
        <v>1</v>
      </c>
      <c r="AD5" s="536">
        <v>1</v>
      </c>
      <c r="AE5" s="536">
        <v>0</v>
      </c>
      <c r="AF5" s="537">
        <v>0</v>
      </c>
      <c r="AG5" s="536">
        <v>0</v>
      </c>
      <c r="AH5" s="536">
        <v>0</v>
      </c>
      <c r="AI5" s="536">
        <v>0</v>
      </c>
      <c r="AJ5" s="537">
        <v>0</v>
      </c>
      <c r="AK5" s="536">
        <v>0</v>
      </c>
      <c r="AL5" s="536">
        <v>0</v>
      </c>
      <c r="AM5" s="536">
        <v>0</v>
      </c>
      <c r="AN5" s="537">
        <v>0</v>
      </c>
      <c r="AP5" s="388" t="s">
        <v>139</v>
      </c>
      <c r="AQ5" s="389">
        <f>Englandalltestshistdrawn</f>
        <v>52</v>
      </c>
      <c r="AS5" s="388" t="s">
        <v>139</v>
      </c>
      <c r="AT5" s="389">
        <f>EnglandRWChistdrawn</f>
        <v>0</v>
      </c>
    </row>
    <row r="6" spans="1:46" ht="14.95" customHeight="1" thickBot="1" x14ac:dyDescent="0.3">
      <c r="A6" s="528">
        <v>44632</v>
      </c>
      <c r="B6" s="529" t="s">
        <v>46</v>
      </c>
      <c r="C6" s="529" t="s">
        <v>39</v>
      </c>
      <c r="D6" s="529" t="s">
        <v>116</v>
      </c>
      <c r="E6" s="530" t="s">
        <v>3</v>
      </c>
      <c r="F6" s="530">
        <v>15</v>
      </c>
      <c r="G6" s="530">
        <v>32</v>
      </c>
      <c r="H6" s="530">
        <v>0</v>
      </c>
      <c r="I6" s="530">
        <v>0</v>
      </c>
      <c r="J6" s="530">
        <v>0</v>
      </c>
      <c r="K6" s="530">
        <v>0</v>
      </c>
      <c r="L6" s="530">
        <v>0</v>
      </c>
      <c r="M6" s="530">
        <v>5</v>
      </c>
      <c r="N6" s="530">
        <v>0</v>
      </c>
      <c r="O6" s="530">
        <v>1</v>
      </c>
      <c r="P6" s="530">
        <v>1</v>
      </c>
      <c r="Q6" s="530">
        <v>0</v>
      </c>
      <c r="R6" s="530">
        <v>4</v>
      </c>
      <c r="S6" s="531">
        <v>81658</v>
      </c>
      <c r="T6" s="544" t="s">
        <v>367</v>
      </c>
      <c r="U6" s="533" t="s">
        <v>260</v>
      </c>
      <c r="V6" s="531" t="s">
        <v>368</v>
      </c>
      <c r="W6" s="534" t="s">
        <v>282</v>
      </c>
      <c r="X6" s="535" t="s">
        <v>314</v>
      </c>
      <c r="Y6" s="536">
        <v>1</v>
      </c>
      <c r="Z6" s="536">
        <v>0</v>
      </c>
      <c r="AA6" s="536">
        <v>0</v>
      </c>
      <c r="AB6" s="537">
        <v>1</v>
      </c>
      <c r="AC6" s="536">
        <v>1</v>
      </c>
      <c r="AD6" s="536">
        <v>0</v>
      </c>
      <c r="AE6" s="536">
        <v>0</v>
      </c>
      <c r="AF6" s="537">
        <v>1</v>
      </c>
      <c r="AG6" s="536">
        <v>0</v>
      </c>
      <c r="AH6" s="536">
        <v>0</v>
      </c>
      <c r="AI6" s="536">
        <v>0</v>
      </c>
      <c r="AJ6" s="537">
        <v>0</v>
      </c>
      <c r="AK6" s="536">
        <v>0</v>
      </c>
      <c r="AL6" s="536">
        <v>0</v>
      </c>
      <c r="AM6" s="536">
        <v>0</v>
      </c>
      <c r="AN6" s="537">
        <v>0</v>
      </c>
      <c r="AP6" s="388" t="s">
        <v>134</v>
      </c>
      <c r="AQ6" s="389">
        <f>Englandalltestshistlost</f>
        <v>290</v>
      </c>
      <c r="AS6" s="388" t="s">
        <v>134</v>
      </c>
      <c r="AT6" s="389">
        <f>EnglandRWChistlost</f>
        <v>14</v>
      </c>
    </row>
    <row r="7" spans="1:46" ht="14.95" customHeight="1" thickBot="1" x14ac:dyDescent="0.3">
      <c r="A7" s="501">
        <v>44639</v>
      </c>
      <c r="B7" s="503" t="s">
        <v>46</v>
      </c>
      <c r="C7" s="503" t="s">
        <v>34</v>
      </c>
      <c r="D7" s="503" t="s">
        <v>113</v>
      </c>
      <c r="E7" s="504" t="s">
        <v>3</v>
      </c>
      <c r="F7" s="504">
        <v>13</v>
      </c>
      <c r="G7" s="504">
        <v>25</v>
      </c>
      <c r="H7" s="504">
        <v>0</v>
      </c>
      <c r="I7" s="504">
        <v>0</v>
      </c>
      <c r="J7" s="504">
        <v>1</v>
      </c>
      <c r="K7" s="504">
        <v>1</v>
      </c>
      <c r="L7" s="504">
        <v>0</v>
      </c>
      <c r="M7" s="504">
        <v>2</v>
      </c>
      <c r="N7" s="504">
        <v>0</v>
      </c>
      <c r="O7" s="504">
        <v>0</v>
      </c>
      <c r="P7" s="504">
        <v>0</v>
      </c>
      <c r="Q7" s="504">
        <v>0</v>
      </c>
      <c r="R7" s="504">
        <v>3</v>
      </c>
      <c r="S7" s="511">
        <v>80000</v>
      </c>
      <c r="T7" s="515" t="s">
        <v>392</v>
      </c>
      <c r="U7" s="513" t="s">
        <v>258</v>
      </c>
      <c r="V7" s="511" t="s">
        <v>368</v>
      </c>
      <c r="W7" s="506" t="s">
        <v>282</v>
      </c>
      <c r="X7" s="514" t="s">
        <v>299</v>
      </c>
      <c r="Y7" s="509">
        <v>1</v>
      </c>
      <c r="Z7" s="509">
        <v>0</v>
      </c>
      <c r="AA7" s="509">
        <v>0</v>
      </c>
      <c r="AB7" s="510">
        <v>1</v>
      </c>
      <c r="AC7" s="509">
        <v>0</v>
      </c>
      <c r="AD7" s="509">
        <v>0</v>
      </c>
      <c r="AE7" s="509">
        <v>0</v>
      </c>
      <c r="AF7" s="510">
        <v>0</v>
      </c>
      <c r="AG7" s="509">
        <v>1</v>
      </c>
      <c r="AH7" s="509">
        <v>0</v>
      </c>
      <c r="AI7" s="509">
        <v>0</v>
      </c>
      <c r="AJ7" s="510">
        <v>1</v>
      </c>
      <c r="AK7" s="509">
        <v>0</v>
      </c>
      <c r="AL7" s="509">
        <v>0</v>
      </c>
      <c r="AM7" s="509">
        <v>0</v>
      </c>
      <c r="AN7" s="510">
        <v>0</v>
      </c>
      <c r="AP7" s="388" t="s">
        <v>140</v>
      </c>
      <c r="AQ7" s="389">
        <f>Englandalltestshistptsscored</f>
        <v>13829</v>
      </c>
      <c r="AS7" s="388" t="s">
        <v>140</v>
      </c>
      <c r="AT7" s="389">
        <f>EnglandRWChistptsscored</f>
        <v>1569</v>
      </c>
    </row>
    <row r="8" spans="1:46" ht="14.95" customHeight="1" thickBot="1" x14ac:dyDescent="0.3">
      <c r="A8" s="501">
        <v>44751</v>
      </c>
      <c r="B8" s="503" t="s">
        <v>514</v>
      </c>
      <c r="C8" s="503" t="s">
        <v>29</v>
      </c>
      <c r="D8" s="503" t="s">
        <v>512</v>
      </c>
      <c r="E8" s="504" t="s">
        <v>3</v>
      </c>
      <c r="F8" s="504">
        <v>28</v>
      </c>
      <c r="G8" s="504">
        <v>30</v>
      </c>
      <c r="H8" s="504" t="s">
        <v>106</v>
      </c>
      <c r="I8" s="504" t="s">
        <v>106</v>
      </c>
      <c r="J8" s="504">
        <v>3</v>
      </c>
      <c r="K8" s="504">
        <v>2</v>
      </c>
      <c r="L8" s="504">
        <v>0</v>
      </c>
      <c r="M8" s="504">
        <v>3</v>
      </c>
      <c r="N8" s="504">
        <v>2</v>
      </c>
      <c r="O8" s="504">
        <v>0</v>
      </c>
      <c r="P8" s="504" t="s">
        <v>106</v>
      </c>
      <c r="Q8" s="504" t="s">
        <v>106</v>
      </c>
      <c r="R8" s="504">
        <v>3</v>
      </c>
      <c r="S8" s="511">
        <v>47668</v>
      </c>
      <c r="T8" s="670" t="s">
        <v>509</v>
      </c>
      <c r="U8" s="513" t="s">
        <v>510</v>
      </c>
      <c r="V8" s="511" t="s">
        <v>511</v>
      </c>
      <c r="W8" s="511" t="s">
        <v>313</v>
      </c>
      <c r="X8" s="514" t="s">
        <v>269</v>
      </c>
      <c r="Y8" s="509">
        <v>1</v>
      </c>
      <c r="Z8" s="509">
        <v>0</v>
      </c>
      <c r="AA8" s="509">
        <v>0</v>
      </c>
      <c r="AB8" s="510">
        <v>1</v>
      </c>
      <c r="AC8" s="509">
        <v>0</v>
      </c>
      <c r="AD8" s="509">
        <v>0</v>
      </c>
      <c r="AE8" s="509">
        <v>0</v>
      </c>
      <c r="AF8" s="510">
        <v>0</v>
      </c>
      <c r="AG8" s="509">
        <v>1</v>
      </c>
      <c r="AH8" s="509">
        <v>0</v>
      </c>
      <c r="AI8" s="509">
        <v>0</v>
      </c>
      <c r="AJ8" s="510">
        <v>1</v>
      </c>
      <c r="AK8" s="509">
        <v>0</v>
      </c>
      <c r="AL8" s="509">
        <v>0</v>
      </c>
      <c r="AM8" s="509">
        <v>0</v>
      </c>
      <c r="AN8" s="510">
        <v>0</v>
      </c>
      <c r="AP8" s="388" t="s">
        <v>141</v>
      </c>
      <c r="AQ8" s="389">
        <f>Englandalltestshistptsagainst</f>
        <v>10060</v>
      </c>
      <c r="AS8" s="388" t="s">
        <v>141</v>
      </c>
      <c r="AT8" s="389">
        <f>EnglandRWChistptsagainst</f>
        <v>783</v>
      </c>
    </row>
    <row r="9" spans="1:46" ht="14.95" customHeight="1" thickBot="1" x14ac:dyDescent="0.35">
      <c r="A9" s="501">
        <v>44758</v>
      </c>
      <c r="B9" s="503" t="s">
        <v>514</v>
      </c>
      <c r="C9" s="503" t="s">
        <v>29</v>
      </c>
      <c r="D9" s="503" t="s">
        <v>128</v>
      </c>
      <c r="E9" s="504" t="s">
        <v>1</v>
      </c>
      <c r="F9" s="504">
        <v>25</v>
      </c>
      <c r="G9" s="504">
        <v>17</v>
      </c>
      <c r="H9" s="504" t="s">
        <v>106</v>
      </c>
      <c r="I9" s="504" t="s">
        <v>106</v>
      </c>
      <c r="J9" s="504">
        <v>1</v>
      </c>
      <c r="K9" s="504">
        <v>1</v>
      </c>
      <c r="L9" s="504">
        <v>0</v>
      </c>
      <c r="M9" s="504">
        <v>6</v>
      </c>
      <c r="N9" s="504">
        <v>1</v>
      </c>
      <c r="O9" s="504">
        <v>0</v>
      </c>
      <c r="P9" s="504" t="s">
        <v>106</v>
      </c>
      <c r="Q9" s="504" t="s">
        <v>106</v>
      </c>
      <c r="R9" s="504">
        <v>2</v>
      </c>
      <c r="S9" s="511">
        <v>46536</v>
      </c>
      <c r="T9" s="512" t="s">
        <v>309</v>
      </c>
      <c r="U9" s="513" t="s">
        <v>313</v>
      </c>
      <c r="V9" s="511" t="s">
        <v>518</v>
      </c>
      <c r="W9" s="511" t="s">
        <v>565</v>
      </c>
      <c r="X9" s="514" t="s">
        <v>269</v>
      </c>
      <c r="Y9" s="509">
        <v>1</v>
      </c>
      <c r="Z9" s="509">
        <v>1</v>
      </c>
      <c r="AA9" s="509">
        <v>0</v>
      </c>
      <c r="AB9" s="510">
        <v>0</v>
      </c>
      <c r="AC9" s="509">
        <v>0</v>
      </c>
      <c r="AD9" s="509">
        <v>0</v>
      </c>
      <c r="AE9" s="509">
        <v>0</v>
      </c>
      <c r="AF9" s="510">
        <v>0</v>
      </c>
      <c r="AG9" s="509">
        <v>1</v>
      </c>
      <c r="AH9" s="509">
        <v>1</v>
      </c>
      <c r="AI9" s="509">
        <v>0</v>
      </c>
      <c r="AJ9" s="510">
        <v>0</v>
      </c>
      <c r="AK9" s="509">
        <v>0</v>
      </c>
      <c r="AL9" s="509">
        <v>0</v>
      </c>
      <c r="AM9" s="509">
        <v>0</v>
      </c>
      <c r="AN9" s="510">
        <v>0</v>
      </c>
      <c r="AP9" s="388" t="s">
        <v>131</v>
      </c>
      <c r="AQ9" s="389">
        <f>Englandalltestshisttriesscored</f>
        <v>1782</v>
      </c>
      <c r="AS9" s="388" t="s">
        <v>131</v>
      </c>
      <c r="AT9" s="389">
        <f>EnglandRWChisttriesscored</f>
        <v>169</v>
      </c>
    </row>
    <row r="10" spans="1:46" ht="14.95" customHeight="1" thickBot="1" x14ac:dyDescent="0.35">
      <c r="A10" s="501">
        <v>44765</v>
      </c>
      <c r="B10" s="503" t="s">
        <v>514</v>
      </c>
      <c r="C10" s="503" t="s">
        <v>29</v>
      </c>
      <c r="D10" s="503" t="s">
        <v>614</v>
      </c>
      <c r="E10" s="504" t="s">
        <v>1</v>
      </c>
      <c r="F10" s="504">
        <v>21</v>
      </c>
      <c r="G10" s="504">
        <v>7</v>
      </c>
      <c r="H10" s="504" t="s">
        <v>106</v>
      </c>
      <c r="I10" s="504" t="s">
        <v>106</v>
      </c>
      <c r="J10" s="504">
        <v>2</v>
      </c>
      <c r="K10" s="504">
        <v>1</v>
      </c>
      <c r="L10" s="504">
        <v>0</v>
      </c>
      <c r="M10" s="504">
        <v>3</v>
      </c>
      <c r="N10" s="504">
        <v>0</v>
      </c>
      <c r="O10" s="504">
        <v>0</v>
      </c>
      <c r="P10" s="504" t="s">
        <v>106</v>
      </c>
      <c r="Q10" s="504" t="s">
        <v>106</v>
      </c>
      <c r="R10" s="504">
        <v>2</v>
      </c>
      <c r="S10" s="651">
        <v>43274</v>
      </c>
      <c r="T10" s="512" t="s">
        <v>612</v>
      </c>
      <c r="U10" s="513" t="s">
        <v>565</v>
      </c>
      <c r="V10" s="511" t="s">
        <v>449</v>
      </c>
      <c r="W10" s="511" t="s">
        <v>313</v>
      </c>
      <c r="X10" s="508" t="s">
        <v>510</v>
      </c>
      <c r="Y10" s="509">
        <v>1</v>
      </c>
      <c r="Z10" s="509">
        <v>1</v>
      </c>
      <c r="AA10" s="509">
        <v>0</v>
      </c>
      <c r="AB10" s="510">
        <v>0</v>
      </c>
      <c r="AC10" s="509">
        <v>0</v>
      </c>
      <c r="AD10" s="509">
        <v>0</v>
      </c>
      <c r="AE10" s="509">
        <v>0</v>
      </c>
      <c r="AF10" s="510">
        <v>0</v>
      </c>
      <c r="AG10" s="509">
        <v>1</v>
      </c>
      <c r="AH10" s="509">
        <v>1</v>
      </c>
      <c r="AI10" s="509">
        <v>0</v>
      </c>
      <c r="AJ10" s="510">
        <v>0</v>
      </c>
      <c r="AK10" s="509">
        <v>0</v>
      </c>
      <c r="AL10" s="509">
        <v>0</v>
      </c>
      <c r="AM10" s="509">
        <v>0</v>
      </c>
      <c r="AN10" s="510">
        <v>0</v>
      </c>
    </row>
    <row r="11" spans="1:46" ht="14.95" customHeight="1" thickBot="1" x14ac:dyDescent="0.35">
      <c r="A11" s="528">
        <v>44871</v>
      </c>
      <c r="B11" s="529" t="s">
        <v>721</v>
      </c>
      <c r="C11" s="529" t="s">
        <v>37</v>
      </c>
      <c r="D11" s="529" t="s">
        <v>116</v>
      </c>
      <c r="E11" s="530" t="s">
        <v>3</v>
      </c>
      <c r="F11" s="530">
        <v>29</v>
      </c>
      <c r="G11" s="530">
        <v>30</v>
      </c>
      <c r="H11" s="530" t="s">
        <v>106</v>
      </c>
      <c r="I11" s="530" t="s">
        <v>106</v>
      </c>
      <c r="J11" s="530">
        <v>2</v>
      </c>
      <c r="K11" s="530">
        <v>2</v>
      </c>
      <c r="L11" s="530">
        <v>0</v>
      </c>
      <c r="M11" s="530">
        <v>5</v>
      </c>
      <c r="N11" s="530">
        <v>0</v>
      </c>
      <c r="O11" s="530">
        <v>0</v>
      </c>
      <c r="P11" s="530" t="s">
        <v>106</v>
      </c>
      <c r="Q11" s="530" t="s">
        <v>106</v>
      </c>
      <c r="R11" s="530">
        <v>2</v>
      </c>
      <c r="S11" s="592">
        <v>80790</v>
      </c>
      <c r="T11" s="559" t="s">
        <v>795</v>
      </c>
      <c r="U11" s="533" t="s">
        <v>313</v>
      </c>
      <c r="V11" s="531" t="s">
        <v>368</v>
      </c>
      <c r="W11" s="533" t="s">
        <v>299</v>
      </c>
      <c r="X11" s="531" t="s">
        <v>314</v>
      </c>
      <c r="Y11" s="536">
        <v>1</v>
      </c>
      <c r="Z11" s="536">
        <v>0</v>
      </c>
      <c r="AA11" s="536">
        <v>0</v>
      </c>
      <c r="AB11" s="537">
        <v>1</v>
      </c>
      <c r="AC11" s="536">
        <v>1</v>
      </c>
      <c r="AD11" s="536">
        <v>0</v>
      </c>
      <c r="AE11" s="536">
        <v>0</v>
      </c>
      <c r="AF11" s="537">
        <v>1</v>
      </c>
      <c r="AG11" s="536">
        <v>0</v>
      </c>
      <c r="AH11" s="536">
        <v>0</v>
      </c>
      <c r="AI11" s="536">
        <v>0</v>
      </c>
      <c r="AJ11" s="537">
        <v>0</v>
      </c>
      <c r="AK11" s="536">
        <v>0</v>
      </c>
      <c r="AL11" s="536">
        <v>0</v>
      </c>
      <c r="AM11" s="536">
        <v>0</v>
      </c>
      <c r="AN11" s="537">
        <v>0</v>
      </c>
    </row>
    <row r="12" spans="1:46" ht="14.95" customHeight="1" thickBot="1" x14ac:dyDescent="0.35">
      <c r="A12" s="528">
        <v>44877</v>
      </c>
      <c r="B12" s="529" t="s">
        <v>721</v>
      </c>
      <c r="C12" s="529" t="s">
        <v>36</v>
      </c>
      <c r="D12" s="529" t="s">
        <v>116</v>
      </c>
      <c r="E12" s="530" t="s">
        <v>1</v>
      </c>
      <c r="F12" s="530">
        <v>52</v>
      </c>
      <c r="G12" s="530">
        <v>13</v>
      </c>
      <c r="H12" s="530" t="s">
        <v>106</v>
      </c>
      <c r="I12" s="530" t="s">
        <v>106</v>
      </c>
      <c r="J12" s="530">
        <v>7</v>
      </c>
      <c r="K12" s="530">
        <v>6</v>
      </c>
      <c r="L12" s="530">
        <v>0</v>
      </c>
      <c r="M12" s="530">
        <v>1</v>
      </c>
      <c r="N12" s="530">
        <v>1</v>
      </c>
      <c r="O12" s="530">
        <v>0</v>
      </c>
      <c r="P12" s="530" t="s">
        <v>106</v>
      </c>
      <c r="Q12" s="530" t="s">
        <v>106</v>
      </c>
      <c r="R12" s="530">
        <v>1</v>
      </c>
      <c r="S12" s="592">
        <v>81087</v>
      </c>
      <c r="T12" s="543" t="s">
        <v>337</v>
      </c>
      <c r="U12" s="533" t="s">
        <v>510</v>
      </c>
      <c r="V12" s="531" t="s">
        <v>338</v>
      </c>
      <c r="W12" s="533" t="s">
        <v>268</v>
      </c>
      <c r="X12" s="535" t="s">
        <v>269</v>
      </c>
      <c r="Y12" s="536">
        <v>1</v>
      </c>
      <c r="Z12" s="536">
        <v>1</v>
      </c>
      <c r="AA12" s="536">
        <v>0</v>
      </c>
      <c r="AB12" s="537">
        <v>0</v>
      </c>
      <c r="AC12" s="536">
        <v>1</v>
      </c>
      <c r="AD12" s="536">
        <v>1</v>
      </c>
      <c r="AE12" s="536">
        <v>0</v>
      </c>
      <c r="AF12" s="537">
        <v>0</v>
      </c>
      <c r="AG12" s="536">
        <v>0</v>
      </c>
      <c r="AH12" s="536">
        <v>0</v>
      </c>
      <c r="AI12" s="536">
        <v>0</v>
      </c>
      <c r="AJ12" s="537">
        <v>0</v>
      </c>
      <c r="AK12" s="536">
        <v>0</v>
      </c>
      <c r="AL12" s="536">
        <v>0</v>
      </c>
      <c r="AM12" s="536">
        <v>0</v>
      </c>
      <c r="AN12" s="537">
        <v>0</v>
      </c>
    </row>
    <row r="13" spans="1:46" ht="14.95" customHeight="1" thickBot="1" x14ac:dyDescent="0.3">
      <c r="A13" s="528">
        <v>44884</v>
      </c>
      <c r="B13" s="529" t="s">
        <v>244</v>
      </c>
      <c r="C13" s="529" t="s">
        <v>118</v>
      </c>
      <c r="D13" s="529" t="s">
        <v>116</v>
      </c>
      <c r="E13" s="530" t="s">
        <v>2</v>
      </c>
      <c r="F13" s="530">
        <v>25</v>
      </c>
      <c r="G13" s="530">
        <v>25</v>
      </c>
      <c r="H13" s="530" t="s">
        <v>106</v>
      </c>
      <c r="I13" s="530" t="s">
        <v>106</v>
      </c>
      <c r="J13" s="530">
        <v>3</v>
      </c>
      <c r="K13" s="530">
        <v>2</v>
      </c>
      <c r="L13" s="530">
        <v>0</v>
      </c>
      <c r="M13" s="530">
        <v>2</v>
      </c>
      <c r="N13" s="530">
        <v>0</v>
      </c>
      <c r="O13" s="530">
        <v>0</v>
      </c>
      <c r="P13" s="530" t="s">
        <v>106</v>
      </c>
      <c r="Q13" s="530" t="s">
        <v>106</v>
      </c>
      <c r="R13" s="530">
        <v>3</v>
      </c>
      <c r="S13" s="592">
        <v>81367</v>
      </c>
      <c r="T13" s="532" t="s">
        <v>583</v>
      </c>
      <c r="U13" s="533" t="s">
        <v>260</v>
      </c>
      <c r="V13" s="531" t="s">
        <v>312</v>
      </c>
      <c r="W13" s="533" t="s">
        <v>285</v>
      </c>
      <c r="X13" s="535" t="s">
        <v>841</v>
      </c>
      <c r="Y13" s="536">
        <v>1</v>
      </c>
      <c r="Z13" s="536">
        <v>0</v>
      </c>
      <c r="AA13" s="536">
        <v>1</v>
      </c>
      <c r="AB13" s="537">
        <v>0</v>
      </c>
      <c r="AC13" s="536">
        <v>1</v>
      </c>
      <c r="AD13" s="536">
        <v>0</v>
      </c>
      <c r="AE13" s="536">
        <v>1</v>
      </c>
      <c r="AF13" s="537">
        <v>0</v>
      </c>
      <c r="AG13" s="536">
        <v>0</v>
      </c>
      <c r="AH13" s="536">
        <v>0</v>
      </c>
      <c r="AI13" s="536">
        <v>0</v>
      </c>
      <c r="AJ13" s="537">
        <v>0</v>
      </c>
      <c r="AK13" s="536">
        <v>0</v>
      </c>
      <c r="AL13" s="536">
        <v>0</v>
      </c>
      <c r="AM13" s="536">
        <v>0</v>
      </c>
      <c r="AN13" s="537">
        <v>0</v>
      </c>
    </row>
    <row r="14" spans="1:46" ht="14.95" thickBot="1" x14ac:dyDescent="0.3">
      <c r="A14" s="528">
        <v>44891</v>
      </c>
      <c r="B14" s="529" t="s">
        <v>721</v>
      </c>
      <c r="C14" s="529" t="s">
        <v>177</v>
      </c>
      <c r="D14" s="529" t="s">
        <v>116</v>
      </c>
      <c r="E14" s="530" t="s">
        <v>3</v>
      </c>
      <c r="F14" s="530">
        <v>13</v>
      </c>
      <c r="G14" s="530">
        <v>27</v>
      </c>
      <c r="H14" s="530" t="s">
        <v>106</v>
      </c>
      <c r="I14" s="530" t="s">
        <v>106</v>
      </c>
      <c r="J14" s="530">
        <v>1</v>
      </c>
      <c r="K14" s="530">
        <v>1</v>
      </c>
      <c r="L14" s="530">
        <v>0</v>
      </c>
      <c r="M14" s="530">
        <v>2</v>
      </c>
      <c r="N14" s="530">
        <v>1</v>
      </c>
      <c r="O14" s="530">
        <v>0</v>
      </c>
      <c r="P14" s="530" t="s">
        <v>106</v>
      </c>
      <c r="Q14" s="530" t="s">
        <v>106</v>
      </c>
      <c r="R14" s="530">
        <v>2</v>
      </c>
      <c r="S14" s="536">
        <v>81268</v>
      </c>
      <c r="T14" s="538" t="s">
        <v>878</v>
      </c>
      <c r="U14" s="534" t="s">
        <v>261</v>
      </c>
      <c r="V14" s="534" t="s">
        <v>267</v>
      </c>
      <c r="W14" s="534" t="s">
        <v>313</v>
      </c>
      <c r="X14" s="535" t="s">
        <v>314</v>
      </c>
      <c r="Y14" s="536">
        <v>1</v>
      </c>
      <c r="Z14" s="536">
        <v>0</v>
      </c>
      <c r="AA14" s="536">
        <v>0</v>
      </c>
      <c r="AB14" s="537">
        <v>1</v>
      </c>
      <c r="AC14" s="536">
        <v>1</v>
      </c>
      <c r="AD14" s="536">
        <v>0</v>
      </c>
      <c r="AE14" s="536">
        <v>0</v>
      </c>
      <c r="AF14" s="537">
        <v>1</v>
      </c>
      <c r="AG14" s="536">
        <v>0</v>
      </c>
      <c r="AH14" s="536">
        <v>0</v>
      </c>
      <c r="AI14" s="536">
        <v>0</v>
      </c>
      <c r="AJ14" s="537">
        <v>0</v>
      </c>
      <c r="AK14" s="536">
        <v>0</v>
      </c>
      <c r="AL14" s="536">
        <v>0</v>
      </c>
      <c r="AM14" s="536">
        <v>0</v>
      </c>
      <c r="AN14" s="537">
        <v>0</v>
      </c>
    </row>
    <row r="15" spans="1:46" ht="14.95" thickBot="1" x14ac:dyDescent="0.3">
      <c r="A15" s="310"/>
      <c r="B15" s="311"/>
      <c r="C15" s="806" t="s">
        <v>108</v>
      </c>
      <c r="D15" s="807"/>
      <c r="E15" s="808"/>
      <c r="F15" s="309">
        <f>SUM(F3:F7)</f>
        <v>101</v>
      </c>
      <c r="G15" s="309">
        <f t="shared" ref="G15:R15" si="0">SUM(G3:G7)</f>
        <v>96</v>
      </c>
      <c r="H15" s="309">
        <f t="shared" si="0"/>
        <v>1</v>
      </c>
      <c r="I15" s="309">
        <f t="shared" si="0"/>
        <v>1</v>
      </c>
      <c r="J15" s="309">
        <f t="shared" si="0"/>
        <v>8</v>
      </c>
      <c r="K15" s="309">
        <f t="shared" si="0"/>
        <v>5</v>
      </c>
      <c r="L15" s="309">
        <f t="shared" si="0"/>
        <v>0</v>
      </c>
      <c r="M15" s="309">
        <f t="shared" si="0"/>
        <v>17</v>
      </c>
      <c r="N15" s="309">
        <f t="shared" si="0"/>
        <v>1</v>
      </c>
      <c r="O15" s="309">
        <f t="shared" si="0"/>
        <v>1</v>
      </c>
      <c r="P15" s="309">
        <f t="shared" si="0"/>
        <v>1</v>
      </c>
      <c r="Q15" s="309">
        <f t="shared" si="0"/>
        <v>1</v>
      </c>
      <c r="R15" s="309">
        <f t="shared" si="0"/>
        <v>12</v>
      </c>
      <c r="W15" s="306"/>
      <c r="X15" s="452" t="s">
        <v>108</v>
      </c>
      <c r="Y15" s="309">
        <f t="shared" ref="Y15:AN15" si="1">SUM(Y3:Y7)</f>
        <v>5</v>
      </c>
      <c r="Z15" s="309">
        <f t="shared" si="1"/>
        <v>2</v>
      </c>
      <c r="AA15" s="309">
        <f t="shared" si="1"/>
        <v>0</v>
      </c>
      <c r="AB15" s="309">
        <f t="shared" si="1"/>
        <v>3</v>
      </c>
      <c r="AC15" s="307">
        <f t="shared" si="1"/>
        <v>2</v>
      </c>
      <c r="AD15" s="307">
        <f t="shared" si="1"/>
        <v>1</v>
      </c>
      <c r="AE15" s="307">
        <f t="shared" si="1"/>
        <v>0</v>
      </c>
      <c r="AF15" s="307">
        <f t="shared" si="1"/>
        <v>1</v>
      </c>
      <c r="AG15" s="308">
        <f t="shared" si="1"/>
        <v>3</v>
      </c>
      <c r="AH15" s="308">
        <f t="shared" si="1"/>
        <v>1</v>
      </c>
      <c r="AI15" s="308">
        <f t="shared" si="1"/>
        <v>0</v>
      </c>
      <c r="AJ15" s="308">
        <f t="shared" si="1"/>
        <v>2</v>
      </c>
      <c r="AK15" s="309">
        <f t="shared" si="1"/>
        <v>0</v>
      </c>
      <c r="AL15" s="309">
        <f t="shared" si="1"/>
        <v>0</v>
      </c>
      <c r="AM15" s="309">
        <f t="shared" si="1"/>
        <v>0</v>
      </c>
      <c r="AN15" s="309">
        <f t="shared" si="1"/>
        <v>0</v>
      </c>
    </row>
    <row r="16" spans="1:46" ht="15.8" customHeight="1" thickBot="1" x14ac:dyDescent="0.3">
      <c r="A16" s="310"/>
      <c r="B16" s="311"/>
      <c r="C16" s="771" t="s">
        <v>173</v>
      </c>
      <c r="D16" s="801"/>
      <c r="E16" s="802"/>
      <c r="F16" s="602">
        <f>SUM(F8:F14)</f>
        <v>193</v>
      </c>
      <c r="G16" s="602">
        <f t="shared" ref="G16:R16" si="2">SUM(G8:G14)</f>
        <v>149</v>
      </c>
      <c r="H16" s="602" t="s">
        <v>106</v>
      </c>
      <c r="I16" s="602" t="s">
        <v>106</v>
      </c>
      <c r="J16" s="602">
        <f t="shared" si="2"/>
        <v>19</v>
      </c>
      <c r="K16" s="602">
        <f t="shared" si="2"/>
        <v>15</v>
      </c>
      <c r="L16" s="602">
        <f t="shared" si="2"/>
        <v>0</v>
      </c>
      <c r="M16" s="602">
        <f t="shared" si="2"/>
        <v>22</v>
      </c>
      <c r="N16" s="602">
        <f t="shared" si="2"/>
        <v>5</v>
      </c>
      <c r="O16" s="602">
        <f t="shared" si="2"/>
        <v>0</v>
      </c>
      <c r="P16" s="602" t="s">
        <v>106</v>
      </c>
      <c r="Q16" s="602" t="s">
        <v>106</v>
      </c>
      <c r="R16" s="602">
        <f t="shared" si="2"/>
        <v>15</v>
      </c>
      <c r="S16" s="618"/>
      <c r="T16" s="618"/>
      <c r="U16" s="618"/>
      <c r="V16" s="618"/>
      <c r="W16" s="600"/>
      <c r="X16" s="609" t="s">
        <v>173</v>
      </c>
      <c r="Y16" s="602">
        <f t="shared" ref="Y16:AN16" si="3">SUM(Y8:Y14)</f>
        <v>7</v>
      </c>
      <c r="Z16" s="602">
        <f t="shared" si="3"/>
        <v>3</v>
      </c>
      <c r="AA16" s="602">
        <f t="shared" si="3"/>
        <v>1</v>
      </c>
      <c r="AB16" s="602">
        <f t="shared" si="3"/>
        <v>3</v>
      </c>
      <c r="AC16" s="603">
        <f t="shared" si="3"/>
        <v>4</v>
      </c>
      <c r="AD16" s="603">
        <f t="shared" si="3"/>
        <v>1</v>
      </c>
      <c r="AE16" s="603">
        <f t="shared" si="3"/>
        <v>1</v>
      </c>
      <c r="AF16" s="603">
        <f t="shared" si="3"/>
        <v>2</v>
      </c>
      <c r="AG16" s="604">
        <f t="shared" si="3"/>
        <v>3</v>
      </c>
      <c r="AH16" s="604">
        <f t="shared" si="3"/>
        <v>2</v>
      </c>
      <c r="AI16" s="604">
        <f t="shared" si="3"/>
        <v>0</v>
      </c>
      <c r="AJ16" s="604">
        <f t="shared" si="3"/>
        <v>1</v>
      </c>
      <c r="AK16" s="602">
        <f t="shared" si="3"/>
        <v>0</v>
      </c>
      <c r="AL16" s="602">
        <f t="shared" si="3"/>
        <v>0</v>
      </c>
      <c r="AM16" s="602">
        <f t="shared" si="3"/>
        <v>0</v>
      </c>
      <c r="AN16" s="602">
        <f t="shared" si="3"/>
        <v>0</v>
      </c>
    </row>
    <row r="17" spans="1:40" ht="14.95" thickBot="1" x14ac:dyDescent="0.3">
      <c r="A17" s="310"/>
      <c r="B17" s="311"/>
      <c r="C17" s="760" t="s">
        <v>107</v>
      </c>
      <c r="D17" s="761"/>
      <c r="E17" s="762"/>
      <c r="F17" s="422">
        <f t="shared" ref="F17:R17" si="4">SUM(F3:F14)</f>
        <v>294</v>
      </c>
      <c r="G17" s="422">
        <f t="shared" si="4"/>
        <v>245</v>
      </c>
      <c r="H17" s="422">
        <f t="shared" si="4"/>
        <v>1</v>
      </c>
      <c r="I17" s="422">
        <f t="shared" si="4"/>
        <v>1</v>
      </c>
      <c r="J17" s="422">
        <f t="shared" si="4"/>
        <v>27</v>
      </c>
      <c r="K17" s="422">
        <f t="shared" si="4"/>
        <v>20</v>
      </c>
      <c r="L17" s="422">
        <f t="shared" si="4"/>
        <v>0</v>
      </c>
      <c r="M17" s="422">
        <f t="shared" si="4"/>
        <v>39</v>
      </c>
      <c r="N17" s="422">
        <f t="shared" si="4"/>
        <v>6</v>
      </c>
      <c r="O17" s="422">
        <f t="shared" si="4"/>
        <v>1</v>
      </c>
      <c r="P17" s="422">
        <f t="shared" si="4"/>
        <v>1</v>
      </c>
      <c r="Q17" s="422">
        <f t="shared" si="4"/>
        <v>1</v>
      </c>
      <c r="R17" s="422">
        <f t="shared" si="4"/>
        <v>27</v>
      </c>
      <c r="S17" s="593"/>
      <c r="T17" s="593"/>
      <c r="U17" s="593"/>
      <c r="V17" s="593"/>
      <c r="W17" s="13"/>
      <c r="X17" s="447" t="s">
        <v>107</v>
      </c>
      <c r="Y17" s="422">
        <f t="shared" ref="Y17:AN17" si="5">SUM(Y3:Y14)</f>
        <v>12</v>
      </c>
      <c r="Z17" s="422">
        <f t="shared" si="5"/>
        <v>5</v>
      </c>
      <c r="AA17" s="422">
        <f t="shared" si="5"/>
        <v>1</v>
      </c>
      <c r="AB17" s="422">
        <f t="shared" si="5"/>
        <v>6</v>
      </c>
      <c r="AC17" s="420">
        <f t="shared" si="5"/>
        <v>6</v>
      </c>
      <c r="AD17" s="420">
        <f t="shared" si="5"/>
        <v>2</v>
      </c>
      <c r="AE17" s="420">
        <f t="shared" si="5"/>
        <v>1</v>
      </c>
      <c r="AF17" s="420">
        <f t="shared" si="5"/>
        <v>3</v>
      </c>
      <c r="AG17" s="421">
        <f t="shared" si="5"/>
        <v>6</v>
      </c>
      <c r="AH17" s="421">
        <f t="shared" si="5"/>
        <v>3</v>
      </c>
      <c r="AI17" s="421">
        <f t="shared" si="5"/>
        <v>0</v>
      </c>
      <c r="AJ17" s="421">
        <f t="shared" si="5"/>
        <v>3</v>
      </c>
      <c r="AK17" s="422">
        <f t="shared" si="5"/>
        <v>0</v>
      </c>
      <c r="AL17" s="422">
        <f t="shared" si="5"/>
        <v>0</v>
      </c>
      <c r="AM17" s="422">
        <f t="shared" si="5"/>
        <v>0</v>
      </c>
      <c r="AN17" s="422">
        <f t="shared" si="5"/>
        <v>0</v>
      </c>
    </row>
    <row r="18" spans="1:40" x14ac:dyDescent="0.25">
      <c r="A18" s="788" t="s">
        <v>725</v>
      </c>
      <c r="B18" s="743"/>
      <c r="C18" s="743"/>
      <c r="D18" s="743"/>
      <c r="E18" s="743"/>
      <c r="F18" s="743"/>
      <c r="G18" s="743"/>
      <c r="H18" s="743"/>
      <c r="I18" s="743"/>
      <c r="J18" s="743"/>
      <c r="K18" s="743"/>
      <c r="L18" s="743"/>
      <c r="M18" s="743"/>
      <c r="N18" s="743"/>
      <c r="O18" s="743"/>
      <c r="P18" s="743"/>
      <c r="Q18" s="743"/>
      <c r="R18" s="743"/>
      <c r="S18" s="743"/>
      <c r="T18" s="743"/>
      <c r="U18" s="743"/>
      <c r="V18" s="743"/>
      <c r="W18" s="743"/>
      <c r="X18" s="743"/>
      <c r="Y18" s="743"/>
      <c r="Z18" s="743"/>
      <c r="AA18" s="743"/>
      <c r="AB18" s="743"/>
      <c r="AC18" s="743"/>
      <c r="AD18" s="743"/>
      <c r="AE18" s="743"/>
      <c r="AF18" s="743"/>
      <c r="AG18" s="743"/>
      <c r="AH18" s="743"/>
      <c r="AI18" s="743"/>
      <c r="AJ18" s="743"/>
      <c r="AK18" s="743"/>
      <c r="AL18" s="743"/>
      <c r="AM18" s="743"/>
      <c r="AN18" s="743"/>
    </row>
    <row r="19" spans="1:40" x14ac:dyDescent="0.25">
      <c r="A19" s="632" t="s">
        <v>223</v>
      </c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</row>
    <row r="20" spans="1:40" x14ac:dyDescent="0.25">
      <c r="A20" t="s">
        <v>234</v>
      </c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</row>
    <row r="21" spans="1:40" x14ac:dyDescent="0.25">
      <c r="A21" t="s">
        <v>513</v>
      </c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</row>
    <row r="22" spans="1:40" x14ac:dyDescent="0.25">
      <c r="A22" t="s">
        <v>613</v>
      </c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</row>
    <row r="23" spans="1:40" x14ac:dyDescent="0.25">
      <c r="A23" t="s">
        <v>760</v>
      </c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</row>
    <row r="24" spans="1:40" x14ac:dyDescent="0.25">
      <c r="A24" t="s">
        <v>824</v>
      </c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</row>
    <row r="25" spans="1:40" x14ac:dyDescent="0.25">
      <c r="A25" s="594"/>
      <c r="B25" s="204" t="s">
        <v>44</v>
      </c>
    </row>
    <row r="26" spans="1:40" x14ac:dyDescent="0.25">
      <c r="A26" s="367"/>
      <c r="B26" s="204" t="s">
        <v>42</v>
      </c>
    </row>
    <row r="27" spans="1:40" x14ac:dyDescent="0.25">
      <c r="A27" s="595"/>
      <c r="B27" s="204" t="s">
        <v>43</v>
      </c>
    </row>
    <row r="28" spans="1:40" x14ac:dyDescent="0.25">
      <c r="A28" s="632" t="s">
        <v>28</v>
      </c>
    </row>
  </sheetData>
  <mergeCells count="14">
    <mergeCell ref="A18:AN18"/>
    <mergeCell ref="Y1:AB1"/>
    <mergeCell ref="AC1:AF1"/>
    <mergeCell ref="AG1:AJ1"/>
    <mergeCell ref="AK1:AN1"/>
    <mergeCell ref="C15:E15"/>
    <mergeCell ref="P1:R1"/>
    <mergeCell ref="C16:E16"/>
    <mergeCell ref="C17:E17"/>
    <mergeCell ref="J1:M1"/>
    <mergeCell ref="N1:O1"/>
    <mergeCell ref="A1:C1"/>
    <mergeCell ref="E1:G1"/>
    <mergeCell ref="H1:I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T17"/>
  <sheetViews>
    <sheetView workbookViewId="0">
      <pane ySplit="2" topLeftCell="A3" activePane="bottomLeft" state="frozen"/>
      <selection pane="bottomLeft" activeCell="X6" sqref="X6"/>
    </sheetView>
  </sheetViews>
  <sheetFormatPr defaultRowHeight="14.3" x14ac:dyDescent="0.25"/>
  <cols>
    <col min="1" max="1" width="7.5" customWidth="1"/>
    <col min="2" max="2" width="4.5" bestFit="1" customWidth="1"/>
    <col min="3" max="3" width="11.5" customWidth="1"/>
    <col min="4" max="4" width="4.375" customWidth="1"/>
    <col min="5" max="10" width="3.625" customWidth="1"/>
    <col min="11" max="11" width="3.875" customWidth="1"/>
    <col min="12" max="18" width="3.625" customWidth="1"/>
    <col min="19" max="20" width="6.375" customWidth="1"/>
    <col min="21" max="21" width="21.125" bestFit="1" customWidth="1"/>
    <col min="22" max="22" width="20.125" customWidth="1"/>
    <col min="23" max="23" width="21.875" bestFit="1" customWidth="1"/>
    <col min="24" max="24" width="21" customWidth="1"/>
    <col min="25" max="40" width="3.625" customWidth="1"/>
    <col min="42" max="42" width="13.125" bestFit="1" customWidth="1"/>
    <col min="45" max="45" width="13.125" bestFit="1" customWidth="1"/>
  </cols>
  <sheetData>
    <row r="1" spans="1:46" ht="14.95" customHeight="1" thickBot="1" x14ac:dyDescent="0.3">
      <c r="A1" s="822" t="s">
        <v>201</v>
      </c>
      <c r="B1" s="823"/>
      <c r="C1" s="823"/>
      <c r="D1" s="151"/>
      <c r="E1" s="820" t="s">
        <v>24</v>
      </c>
      <c r="F1" s="824"/>
      <c r="G1" s="821"/>
      <c r="H1" s="820" t="s">
        <v>23</v>
      </c>
      <c r="I1" s="821"/>
      <c r="J1" s="817" t="s">
        <v>6</v>
      </c>
      <c r="K1" s="818"/>
      <c r="L1" s="818"/>
      <c r="M1" s="819"/>
      <c r="N1" s="817" t="s">
        <v>7</v>
      </c>
      <c r="O1" s="819"/>
      <c r="P1" s="817" t="s">
        <v>25</v>
      </c>
      <c r="Q1" s="818"/>
      <c r="R1" s="819"/>
      <c r="S1" s="41" t="s">
        <v>8</v>
      </c>
      <c r="T1" s="426" t="s">
        <v>9</v>
      </c>
      <c r="U1" s="42" t="s">
        <v>10</v>
      </c>
      <c r="V1" s="41" t="s">
        <v>11</v>
      </c>
      <c r="W1" s="43" t="s">
        <v>26</v>
      </c>
      <c r="X1" s="169" t="s">
        <v>27</v>
      </c>
      <c r="Y1" s="828" t="s">
        <v>20</v>
      </c>
      <c r="Z1" s="753"/>
      <c r="AA1" s="753"/>
      <c r="AB1" s="754"/>
      <c r="AC1" s="829" t="s">
        <v>61</v>
      </c>
      <c r="AD1" s="753"/>
      <c r="AE1" s="753"/>
      <c r="AF1" s="754"/>
      <c r="AG1" s="829" t="s">
        <v>62</v>
      </c>
      <c r="AH1" s="753"/>
      <c r="AI1" s="753"/>
      <c r="AJ1" s="754"/>
      <c r="AK1" s="829" t="s">
        <v>63</v>
      </c>
      <c r="AL1" s="753"/>
      <c r="AM1" s="753"/>
      <c r="AN1" s="754"/>
      <c r="AP1" s="366" t="s">
        <v>146</v>
      </c>
      <c r="AQ1" s="397"/>
      <c r="AR1" s="397"/>
      <c r="AS1" s="366" t="s">
        <v>146</v>
      </c>
    </row>
    <row r="2" spans="1:46" ht="14.95" customHeight="1" thickBot="1" x14ac:dyDescent="0.3">
      <c r="A2" s="12" t="s">
        <v>19</v>
      </c>
      <c r="B2" s="44" t="s">
        <v>18</v>
      </c>
      <c r="C2" s="45" t="s">
        <v>17</v>
      </c>
      <c r="D2" s="45" t="s">
        <v>41</v>
      </c>
      <c r="E2" s="46" t="s">
        <v>16</v>
      </c>
      <c r="F2" s="46" t="s">
        <v>4</v>
      </c>
      <c r="G2" s="46" t="s">
        <v>5</v>
      </c>
      <c r="H2" s="47" t="s">
        <v>12</v>
      </c>
      <c r="I2" s="47" t="s">
        <v>3</v>
      </c>
      <c r="J2" s="47" t="s">
        <v>12</v>
      </c>
      <c r="K2" s="47" t="s">
        <v>13</v>
      </c>
      <c r="L2" s="47" t="s">
        <v>2</v>
      </c>
      <c r="M2" s="47" t="s">
        <v>14</v>
      </c>
      <c r="N2" s="47" t="s">
        <v>15</v>
      </c>
      <c r="O2" s="47" t="s">
        <v>16</v>
      </c>
      <c r="P2" s="47" t="s">
        <v>21</v>
      </c>
      <c r="Q2" s="47" t="s">
        <v>22</v>
      </c>
      <c r="R2" s="47" t="s">
        <v>12</v>
      </c>
      <c r="S2" s="48"/>
      <c r="T2" s="49"/>
      <c r="U2" s="50"/>
      <c r="V2" s="48"/>
      <c r="W2" s="173"/>
      <c r="X2" s="51"/>
      <c r="Y2" s="336" t="s">
        <v>0</v>
      </c>
      <c r="Z2" s="336" t="s">
        <v>1</v>
      </c>
      <c r="AA2" s="336" t="s">
        <v>2</v>
      </c>
      <c r="AB2" s="336" t="s">
        <v>3</v>
      </c>
      <c r="AC2" s="337" t="s">
        <v>0</v>
      </c>
      <c r="AD2" s="337" t="s">
        <v>1</v>
      </c>
      <c r="AE2" s="337" t="s">
        <v>2</v>
      </c>
      <c r="AF2" s="337" t="s">
        <v>3</v>
      </c>
      <c r="AG2" s="337" t="s">
        <v>0</v>
      </c>
      <c r="AH2" s="337" t="s">
        <v>1</v>
      </c>
      <c r="AI2" s="337" t="s">
        <v>2</v>
      </c>
      <c r="AJ2" s="337" t="s">
        <v>3</v>
      </c>
      <c r="AK2" s="337" t="s">
        <v>0</v>
      </c>
      <c r="AL2" s="337" t="s">
        <v>1</v>
      </c>
      <c r="AM2" s="337" t="s">
        <v>2</v>
      </c>
      <c r="AN2" s="337" t="s">
        <v>3</v>
      </c>
      <c r="AP2" s="367" t="s">
        <v>107</v>
      </c>
      <c r="AQ2" s="204"/>
      <c r="AS2" s="368" t="s">
        <v>130</v>
      </c>
      <c r="AT2" s="204"/>
    </row>
    <row r="3" spans="1:46" ht="14.95" customHeight="1" thickBot="1" x14ac:dyDescent="0.3">
      <c r="A3" s="528">
        <v>44744</v>
      </c>
      <c r="B3" s="529" t="s">
        <v>490</v>
      </c>
      <c r="C3" s="529" t="s">
        <v>119</v>
      </c>
      <c r="D3" s="529" t="s">
        <v>492</v>
      </c>
      <c r="E3" s="530" t="s">
        <v>1</v>
      </c>
      <c r="F3" s="530">
        <v>36</v>
      </c>
      <c r="G3" s="530">
        <v>0</v>
      </c>
      <c r="H3" s="530">
        <v>1</v>
      </c>
      <c r="I3" s="530">
        <v>0</v>
      </c>
      <c r="J3" s="530">
        <v>5</v>
      </c>
      <c r="K3" s="530">
        <v>4</v>
      </c>
      <c r="L3" s="530">
        <v>0</v>
      </c>
      <c r="M3" s="530">
        <v>1</v>
      </c>
      <c r="N3" s="530">
        <v>1</v>
      </c>
      <c r="O3" s="530">
        <v>0</v>
      </c>
      <c r="P3" s="530">
        <v>0</v>
      </c>
      <c r="Q3" s="530">
        <v>0</v>
      </c>
      <c r="R3" s="530">
        <v>0</v>
      </c>
      <c r="S3" s="531"/>
      <c r="T3" s="544" t="s">
        <v>493</v>
      </c>
      <c r="U3" s="533" t="s">
        <v>266</v>
      </c>
      <c r="V3" s="531" t="s">
        <v>358</v>
      </c>
      <c r="W3" s="531" t="s">
        <v>450</v>
      </c>
      <c r="X3" s="534" t="s">
        <v>494</v>
      </c>
      <c r="Y3" s="536">
        <v>1</v>
      </c>
      <c r="Z3" s="536">
        <v>1</v>
      </c>
      <c r="AA3" s="536">
        <v>0</v>
      </c>
      <c r="AB3" s="537">
        <v>0</v>
      </c>
      <c r="AC3" s="536">
        <v>1</v>
      </c>
      <c r="AD3" s="536">
        <v>1</v>
      </c>
      <c r="AE3" s="536">
        <v>0</v>
      </c>
      <c r="AF3" s="536">
        <v>0</v>
      </c>
      <c r="AG3" s="536">
        <v>0</v>
      </c>
      <c r="AH3" s="536">
        <v>0</v>
      </c>
      <c r="AI3" s="536">
        <v>0</v>
      </c>
      <c r="AJ3" s="536">
        <v>0</v>
      </c>
      <c r="AK3" s="536">
        <v>0</v>
      </c>
      <c r="AL3" s="536">
        <v>0</v>
      </c>
      <c r="AM3" s="536">
        <v>0</v>
      </c>
      <c r="AN3" s="536">
        <v>0</v>
      </c>
      <c r="AP3" s="386" t="s">
        <v>132</v>
      </c>
      <c r="AQ3" s="387">
        <f>Fijialltestshistplayed</f>
        <v>356</v>
      </c>
      <c r="AS3" s="386" t="s">
        <v>132</v>
      </c>
      <c r="AT3" s="387">
        <f>FijiRWChistplayed</f>
        <v>32</v>
      </c>
    </row>
    <row r="4" spans="1:46" ht="14.95" customHeight="1" thickBot="1" x14ac:dyDescent="0.35">
      <c r="A4" s="528">
        <v>44758</v>
      </c>
      <c r="B4" s="529" t="s">
        <v>490</v>
      </c>
      <c r="C4" s="529" t="s">
        <v>120</v>
      </c>
      <c r="D4" s="529" t="s">
        <v>538</v>
      </c>
      <c r="E4" s="530" t="s">
        <v>3</v>
      </c>
      <c r="F4" s="530">
        <v>20</v>
      </c>
      <c r="G4" s="530">
        <v>23</v>
      </c>
      <c r="H4" s="530">
        <v>0</v>
      </c>
      <c r="I4" s="530">
        <v>1</v>
      </c>
      <c r="J4" s="530">
        <v>2</v>
      </c>
      <c r="K4" s="530">
        <v>2</v>
      </c>
      <c r="L4" s="530">
        <v>0</v>
      </c>
      <c r="M4" s="530">
        <v>2</v>
      </c>
      <c r="N4" s="530">
        <v>0</v>
      </c>
      <c r="O4" s="530">
        <v>0</v>
      </c>
      <c r="P4" s="530">
        <v>0</v>
      </c>
      <c r="Q4" s="530">
        <v>0</v>
      </c>
      <c r="R4" s="530">
        <v>2</v>
      </c>
      <c r="S4" s="531"/>
      <c r="T4" s="559" t="s">
        <v>586</v>
      </c>
      <c r="U4" s="533" t="s">
        <v>448</v>
      </c>
      <c r="V4" s="531" t="s">
        <v>358</v>
      </c>
      <c r="W4" s="534" t="s">
        <v>599</v>
      </c>
      <c r="X4" s="535" t="s">
        <v>469</v>
      </c>
      <c r="Y4" s="536">
        <v>1</v>
      </c>
      <c r="Z4" s="536">
        <v>0</v>
      </c>
      <c r="AA4" s="536">
        <v>0</v>
      </c>
      <c r="AB4" s="537">
        <v>1</v>
      </c>
      <c r="AC4" s="536">
        <v>1</v>
      </c>
      <c r="AD4" s="536">
        <v>0</v>
      </c>
      <c r="AE4" s="536">
        <v>0</v>
      </c>
      <c r="AF4" s="536">
        <v>1</v>
      </c>
      <c r="AG4" s="536">
        <v>0</v>
      </c>
      <c r="AH4" s="536">
        <v>0</v>
      </c>
      <c r="AI4" s="536">
        <v>0</v>
      </c>
      <c r="AJ4" s="536">
        <v>0</v>
      </c>
      <c r="AK4" s="536">
        <v>0</v>
      </c>
      <c r="AL4" s="536">
        <v>0</v>
      </c>
      <c r="AM4" s="536">
        <v>0</v>
      </c>
      <c r="AN4" s="536">
        <v>0</v>
      </c>
      <c r="AP4" s="388" t="s">
        <v>133</v>
      </c>
      <c r="AQ4" s="389">
        <f>Fijialltestshistwon</f>
        <v>172</v>
      </c>
      <c r="AS4" s="388" t="s">
        <v>133</v>
      </c>
      <c r="AT4" s="389">
        <f>FijiRWChistwon</f>
        <v>11</v>
      </c>
    </row>
    <row r="5" spans="1:46" ht="14.95" customHeight="1" thickBot="1" x14ac:dyDescent="0.3">
      <c r="A5" s="501">
        <v>44870</v>
      </c>
      <c r="B5" s="503" t="s">
        <v>721</v>
      </c>
      <c r="C5" s="503" t="s">
        <v>35</v>
      </c>
      <c r="D5" s="503" t="s">
        <v>117</v>
      </c>
      <c r="E5" s="504" t="s">
        <v>3</v>
      </c>
      <c r="F5" s="504">
        <v>12</v>
      </c>
      <c r="G5" s="504">
        <v>28</v>
      </c>
      <c r="H5" s="504" t="s">
        <v>106</v>
      </c>
      <c r="I5" s="504" t="s">
        <v>106</v>
      </c>
      <c r="J5" s="504">
        <v>2</v>
      </c>
      <c r="K5" s="504">
        <v>1</v>
      </c>
      <c r="L5" s="504">
        <v>0</v>
      </c>
      <c r="M5" s="504">
        <v>0</v>
      </c>
      <c r="N5" s="504">
        <v>3</v>
      </c>
      <c r="O5" s="504">
        <v>0</v>
      </c>
      <c r="P5" s="504" t="s">
        <v>106</v>
      </c>
      <c r="Q5" s="504" t="s">
        <v>106</v>
      </c>
      <c r="R5" s="504">
        <v>4</v>
      </c>
      <c r="S5" s="511">
        <v>58046</v>
      </c>
      <c r="T5" s="515" t="s">
        <v>787</v>
      </c>
      <c r="U5" s="513" t="s">
        <v>268</v>
      </c>
      <c r="V5" s="511" t="s">
        <v>283</v>
      </c>
      <c r="W5" s="506" t="s">
        <v>510</v>
      </c>
      <c r="X5" s="514" t="s">
        <v>314</v>
      </c>
      <c r="Y5" s="509">
        <v>1</v>
      </c>
      <c r="Z5" s="509">
        <v>0</v>
      </c>
      <c r="AA5" s="509">
        <v>0</v>
      </c>
      <c r="AB5" s="510">
        <v>1</v>
      </c>
      <c r="AC5" s="509">
        <v>0</v>
      </c>
      <c r="AD5" s="509">
        <v>0</v>
      </c>
      <c r="AE5" s="509">
        <v>0</v>
      </c>
      <c r="AF5" s="509">
        <v>0</v>
      </c>
      <c r="AG5" s="509">
        <v>1</v>
      </c>
      <c r="AH5" s="509">
        <v>0</v>
      </c>
      <c r="AI5" s="509">
        <v>0</v>
      </c>
      <c r="AJ5" s="509">
        <v>1</v>
      </c>
      <c r="AK5" s="509">
        <v>0</v>
      </c>
      <c r="AL5" s="509">
        <v>0</v>
      </c>
      <c r="AM5" s="509">
        <v>0</v>
      </c>
      <c r="AN5" s="509">
        <v>0</v>
      </c>
      <c r="AP5" s="388" t="s">
        <v>139</v>
      </c>
      <c r="AQ5" s="389">
        <f>Fijialltestshistdrawn</f>
        <v>11</v>
      </c>
      <c r="AS5" s="388" t="s">
        <v>139</v>
      </c>
      <c r="AT5" s="389">
        <f>FijiRWChistdrawn</f>
        <v>0</v>
      </c>
    </row>
    <row r="6" spans="1:46" ht="14.95" customHeight="1" thickBot="1" x14ac:dyDescent="0.3">
      <c r="A6" s="501">
        <v>44877</v>
      </c>
      <c r="B6" s="503" t="s">
        <v>721</v>
      </c>
      <c r="C6" s="503" t="s">
        <v>39</v>
      </c>
      <c r="D6" s="503" t="s">
        <v>115</v>
      </c>
      <c r="E6" s="504" t="s">
        <v>3</v>
      </c>
      <c r="F6" s="504">
        <v>17</v>
      </c>
      <c r="G6" s="504">
        <v>35</v>
      </c>
      <c r="H6" s="504" t="s">
        <v>106</v>
      </c>
      <c r="I6" s="504" t="s">
        <v>106</v>
      </c>
      <c r="J6" s="504">
        <v>2</v>
      </c>
      <c r="K6" s="504">
        <v>2</v>
      </c>
      <c r="L6" s="504">
        <v>0</v>
      </c>
      <c r="M6" s="504">
        <v>1</v>
      </c>
      <c r="N6" s="504">
        <v>2</v>
      </c>
      <c r="O6" s="504">
        <v>1</v>
      </c>
      <c r="P6" s="504" t="s">
        <v>106</v>
      </c>
      <c r="Q6" s="504" t="s">
        <v>106</v>
      </c>
      <c r="R6" s="504">
        <v>5</v>
      </c>
      <c r="S6" s="506">
        <v>51000</v>
      </c>
      <c r="T6" s="520" t="s">
        <v>813</v>
      </c>
      <c r="U6" s="506" t="s">
        <v>260</v>
      </c>
      <c r="V6" s="506" t="s">
        <v>449</v>
      </c>
      <c r="W6" s="506" t="s">
        <v>385</v>
      </c>
      <c r="X6" s="514" t="s">
        <v>448</v>
      </c>
      <c r="Y6" s="509">
        <v>1</v>
      </c>
      <c r="Z6" s="509">
        <v>0</v>
      </c>
      <c r="AA6" s="509">
        <v>0</v>
      </c>
      <c r="AB6" s="510">
        <v>1</v>
      </c>
      <c r="AC6" s="509">
        <v>0</v>
      </c>
      <c r="AD6" s="509">
        <v>0</v>
      </c>
      <c r="AE6" s="509">
        <v>0</v>
      </c>
      <c r="AF6" s="509">
        <v>0</v>
      </c>
      <c r="AG6" s="509">
        <v>1</v>
      </c>
      <c r="AH6" s="509">
        <v>0</v>
      </c>
      <c r="AI6" s="509">
        <v>0</v>
      </c>
      <c r="AJ6" s="509">
        <v>1</v>
      </c>
      <c r="AK6" s="509">
        <v>0</v>
      </c>
      <c r="AL6" s="509">
        <v>0</v>
      </c>
      <c r="AM6" s="509">
        <v>0</v>
      </c>
      <c r="AN6" s="509">
        <v>0</v>
      </c>
      <c r="AP6" s="388" t="s">
        <v>134</v>
      </c>
      <c r="AQ6" s="389">
        <f>Fijialltestshistlost</f>
        <v>173</v>
      </c>
      <c r="AS6" s="388" t="s">
        <v>134</v>
      </c>
      <c r="AT6" s="389">
        <f>FijiRWChistlost</f>
        <v>21</v>
      </c>
    </row>
    <row r="7" spans="1:46" ht="14.95" customHeight="1" thickBot="1" x14ac:dyDescent="0.3">
      <c r="A7" s="611"/>
      <c r="B7" s="191"/>
      <c r="C7" s="825" t="s">
        <v>600</v>
      </c>
      <c r="D7" s="826"/>
      <c r="E7" s="827"/>
      <c r="F7" s="687">
        <f t="shared" ref="F7:R7" si="0">SUM(F3:F4)</f>
        <v>56</v>
      </c>
      <c r="G7" s="687">
        <f t="shared" si="0"/>
        <v>23</v>
      </c>
      <c r="H7" s="687">
        <f t="shared" si="0"/>
        <v>1</v>
      </c>
      <c r="I7" s="687">
        <f t="shared" si="0"/>
        <v>1</v>
      </c>
      <c r="J7" s="687">
        <f t="shared" si="0"/>
        <v>7</v>
      </c>
      <c r="K7" s="687">
        <f t="shared" si="0"/>
        <v>6</v>
      </c>
      <c r="L7" s="687">
        <f t="shared" si="0"/>
        <v>0</v>
      </c>
      <c r="M7" s="687">
        <f t="shared" si="0"/>
        <v>3</v>
      </c>
      <c r="N7" s="687">
        <f t="shared" si="0"/>
        <v>1</v>
      </c>
      <c r="O7" s="687">
        <f t="shared" si="0"/>
        <v>0</v>
      </c>
      <c r="P7" s="687">
        <f t="shared" si="0"/>
        <v>0</v>
      </c>
      <c r="Q7" s="687">
        <f t="shared" si="0"/>
        <v>0</v>
      </c>
      <c r="R7" s="687">
        <f t="shared" si="0"/>
        <v>2</v>
      </c>
      <c r="S7" s="689"/>
      <c r="T7" s="690"/>
      <c r="U7" s="689"/>
      <c r="V7" s="689"/>
      <c r="W7" s="689"/>
      <c r="X7" s="688" t="s">
        <v>600</v>
      </c>
      <c r="Y7" s="714">
        <f t="shared" ref="Y7:AN7" si="1">SUM(Y3:Y4)</f>
        <v>2</v>
      </c>
      <c r="Z7" s="714">
        <f t="shared" si="1"/>
        <v>1</v>
      </c>
      <c r="AA7" s="714">
        <f t="shared" si="1"/>
        <v>0</v>
      </c>
      <c r="AB7" s="714">
        <f t="shared" si="1"/>
        <v>1</v>
      </c>
      <c r="AC7" s="714">
        <f t="shared" si="1"/>
        <v>2</v>
      </c>
      <c r="AD7" s="714">
        <f t="shared" si="1"/>
        <v>1</v>
      </c>
      <c r="AE7" s="714">
        <f t="shared" si="1"/>
        <v>0</v>
      </c>
      <c r="AF7" s="714">
        <f t="shared" si="1"/>
        <v>1</v>
      </c>
      <c r="AG7" s="714">
        <f t="shared" si="1"/>
        <v>0</v>
      </c>
      <c r="AH7" s="714">
        <f t="shared" si="1"/>
        <v>0</v>
      </c>
      <c r="AI7" s="714">
        <f t="shared" si="1"/>
        <v>0</v>
      </c>
      <c r="AJ7" s="714">
        <f t="shared" si="1"/>
        <v>0</v>
      </c>
      <c r="AK7" s="714">
        <f t="shared" si="1"/>
        <v>0</v>
      </c>
      <c r="AL7" s="714">
        <f t="shared" si="1"/>
        <v>0</v>
      </c>
      <c r="AM7" s="714">
        <f t="shared" si="1"/>
        <v>0</v>
      </c>
      <c r="AN7" s="714">
        <f t="shared" si="1"/>
        <v>0</v>
      </c>
      <c r="AP7" s="388" t="s">
        <v>140</v>
      </c>
      <c r="AQ7" s="389">
        <f>Fijialltestshistptsscored</f>
        <v>7711</v>
      </c>
      <c r="AS7" s="388" t="s">
        <v>140</v>
      </c>
      <c r="AT7" s="389">
        <f>FijiRWChistptsscored</f>
        <v>732</v>
      </c>
    </row>
    <row r="8" spans="1:46" ht="14.95" customHeight="1" thickBot="1" x14ac:dyDescent="0.3">
      <c r="A8" s="310"/>
      <c r="B8" s="311"/>
      <c r="C8" s="760" t="s">
        <v>107</v>
      </c>
      <c r="D8" s="761"/>
      <c r="E8" s="762"/>
      <c r="F8" s="422">
        <f t="shared" ref="F8:R8" si="2">SUM(F3:F6)</f>
        <v>85</v>
      </c>
      <c r="G8" s="422">
        <f t="shared" si="2"/>
        <v>86</v>
      </c>
      <c r="H8" s="422">
        <f t="shared" si="2"/>
        <v>1</v>
      </c>
      <c r="I8" s="422">
        <f t="shared" si="2"/>
        <v>1</v>
      </c>
      <c r="J8" s="422">
        <f t="shared" si="2"/>
        <v>11</v>
      </c>
      <c r="K8" s="422">
        <f t="shared" si="2"/>
        <v>9</v>
      </c>
      <c r="L8" s="422">
        <f t="shared" si="2"/>
        <v>0</v>
      </c>
      <c r="M8" s="422">
        <f t="shared" si="2"/>
        <v>4</v>
      </c>
      <c r="N8" s="422">
        <f t="shared" si="2"/>
        <v>6</v>
      </c>
      <c r="O8" s="422">
        <f t="shared" si="2"/>
        <v>1</v>
      </c>
      <c r="P8" s="422">
        <f t="shared" si="2"/>
        <v>0</v>
      </c>
      <c r="Q8" s="422">
        <f t="shared" si="2"/>
        <v>0</v>
      </c>
      <c r="R8" s="422">
        <f t="shared" si="2"/>
        <v>11</v>
      </c>
      <c r="S8" s="419"/>
      <c r="T8" s="419"/>
      <c r="U8" s="419"/>
      <c r="V8" s="419"/>
      <c r="W8" s="13"/>
      <c r="X8" s="447" t="s">
        <v>107</v>
      </c>
      <c r="Y8" s="422">
        <f t="shared" ref="Y8:AN8" si="3">SUM(Y3:Y6)</f>
        <v>4</v>
      </c>
      <c r="Z8" s="422">
        <f t="shared" si="3"/>
        <v>1</v>
      </c>
      <c r="AA8" s="422">
        <f t="shared" si="3"/>
        <v>0</v>
      </c>
      <c r="AB8" s="422">
        <f t="shared" si="3"/>
        <v>3</v>
      </c>
      <c r="AC8" s="420">
        <f t="shared" si="3"/>
        <v>2</v>
      </c>
      <c r="AD8" s="420">
        <f t="shared" si="3"/>
        <v>1</v>
      </c>
      <c r="AE8" s="420">
        <f t="shared" si="3"/>
        <v>0</v>
      </c>
      <c r="AF8" s="420">
        <f t="shared" si="3"/>
        <v>1</v>
      </c>
      <c r="AG8" s="421">
        <f t="shared" si="3"/>
        <v>2</v>
      </c>
      <c r="AH8" s="421">
        <f t="shared" si="3"/>
        <v>0</v>
      </c>
      <c r="AI8" s="421">
        <f t="shared" si="3"/>
        <v>0</v>
      </c>
      <c r="AJ8" s="421">
        <f t="shared" si="3"/>
        <v>2</v>
      </c>
      <c r="AK8" s="422">
        <f t="shared" si="3"/>
        <v>0</v>
      </c>
      <c r="AL8" s="422">
        <f t="shared" si="3"/>
        <v>0</v>
      </c>
      <c r="AM8" s="422">
        <f t="shared" si="3"/>
        <v>0</v>
      </c>
      <c r="AN8" s="422">
        <f t="shared" si="3"/>
        <v>0</v>
      </c>
      <c r="AP8" s="388" t="s">
        <v>141</v>
      </c>
      <c r="AQ8" s="389">
        <f>Fijialltestshistptsagainst</f>
        <v>7519</v>
      </c>
      <c r="AS8" s="388" t="s">
        <v>141</v>
      </c>
      <c r="AT8" s="389">
        <f>FijiRWChistptsagainst</f>
        <v>971</v>
      </c>
    </row>
    <row r="9" spans="1:46" ht="16.5" customHeight="1" thickBot="1" x14ac:dyDescent="0.3">
      <c r="AP9" s="388" t="s">
        <v>131</v>
      </c>
      <c r="AQ9" s="389">
        <f>Fijialltestshisttriesscored</f>
        <v>1084</v>
      </c>
      <c r="AS9" s="388" t="s">
        <v>131</v>
      </c>
      <c r="AT9" s="389">
        <f>FijiRWChisttriesscored</f>
        <v>86</v>
      </c>
    </row>
    <row r="10" spans="1:46" ht="14.95" customHeight="1" x14ac:dyDescent="0.25">
      <c r="A10" t="s">
        <v>729</v>
      </c>
      <c r="AP10" s="790" t="s">
        <v>185</v>
      </c>
      <c r="AQ10" s="791"/>
      <c r="AR10" s="791"/>
      <c r="AS10" s="791"/>
      <c r="AT10" s="791"/>
    </row>
    <row r="11" spans="1:46" ht="14.95" customHeight="1" x14ac:dyDescent="0.25">
      <c r="A11" s="678" t="s">
        <v>645</v>
      </c>
    </row>
    <row r="12" spans="1:46" ht="14.95" customHeight="1" x14ac:dyDescent="0.25">
      <c r="A12" t="s">
        <v>724</v>
      </c>
    </row>
    <row r="13" spans="1:46" ht="14.95" customHeight="1" x14ac:dyDescent="0.25">
      <c r="A13" t="s">
        <v>225</v>
      </c>
    </row>
    <row r="14" spans="1:46" ht="14.95" customHeight="1" x14ac:dyDescent="0.25">
      <c r="A14" s="155"/>
      <c r="B14" t="s">
        <v>44</v>
      </c>
    </row>
    <row r="15" spans="1:46" x14ac:dyDescent="0.25">
      <c r="A15" s="153"/>
      <c r="B15" t="s">
        <v>42</v>
      </c>
    </row>
    <row r="16" spans="1:46" x14ac:dyDescent="0.25">
      <c r="A16" s="154"/>
      <c r="B16" t="s">
        <v>43</v>
      </c>
    </row>
    <row r="17" spans="1:1" x14ac:dyDescent="0.25">
      <c r="A17" s="15" t="s">
        <v>28</v>
      </c>
    </row>
  </sheetData>
  <mergeCells count="13">
    <mergeCell ref="AP10:AT10"/>
    <mergeCell ref="Y1:AB1"/>
    <mergeCell ref="AC1:AF1"/>
    <mergeCell ref="AG1:AJ1"/>
    <mergeCell ref="AK1:AN1"/>
    <mergeCell ref="J1:M1"/>
    <mergeCell ref="N1:O1"/>
    <mergeCell ref="P1:R1"/>
    <mergeCell ref="C8:E8"/>
    <mergeCell ref="H1:I1"/>
    <mergeCell ref="A1:C1"/>
    <mergeCell ref="E1:G1"/>
    <mergeCell ref="C7:E7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T27"/>
  <sheetViews>
    <sheetView zoomScaleNormal="100" workbookViewId="0">
      <pane ySplit="2" topLeftCell="A3" activePane="bottomLeft" state="frozen"/>
      <selection pane="bottomLeft" activeCell="V26" sqref="V26"/>
    </sheetView>
  </sheetViews>
  <sheetFormatPr defaultRowHeight="14.3" x14ac:dyDescent="0.25"/>
  <cols>
    <col min="1" max="1" width="7.5" customWidth="1"/>
    <col min="2" max="2" width="4.5" bestFit="1" customWidth="1"/>
    <col min="3" max="3" width="11.5" customWidth="1"/>
    <col min="4" max="4" width="4.5" bestFit="1" customWidth="1"/>
    <col min="5" max="5" width="3.625" customWidth="1"/>
    <col min="6" max="7" width="4" bestFit="1" customWidth="1"/>
    <col min="8" max="18" width="3.625" customWidth="1"/>
    <col min="19" max="20" width="6.375" customWidth="1"/>
    <col min="21" max="21" width="20.375" bestFit="1" customWidth="1"/>
    <col min="22" max="22" width="21.875" bestFit="1" customWidth="1"/>
    <col min="23" max="23" width="21.625" customWidth="1"/>
    <col min="24" max="24" width="30.5" customWidth="1"/>
    <col min="25" max="40" width="3.625" customWidth="1"/>
    <col min="42" max="42" width="13.125" bestFit="1" customWidth="1"/>
    <col min="45" max="45" width="13.125" bestFit="1" customWidth="1"/>
  </cols>
  <sheetData>
    <row r="1" spans="1:46" ht="14.95" customHeight="1" thickBot="1" x14ac:dyDescent="0.3">
      <c r="A1" s="830" t="s">
        <v>202</v>
      </c>
      <c r="B1" s="831"/>
      <c r="C1" s="831"/>
      <c r="D1" s="242"/>
      <c r="E1" s="832" t="s">
        <v>24</v>
      </c>
      <c r="F1" s="833"/>
      <c r="G1" s="834"/>
      <c r="H1" s="832" t="s">
        <v>23</v>
      </c>
      <c r="I1" s="834"/>
      <c r="J1" s="835" t="s">
        <v>6</v>
      </c>
      <c r="K1" s="836"/>
      <c r="L1" s="836"/>
      <c r="M1" s="837"/>
      <c r="N1" s="835" t="s">
        <v>7</v>
      </c>
      <c r="O1" s="837"/>
      <c r="P1" s="835" t="s">
        <v>25</v>
      </c>
      <c r="Q1" s="836"/>
      <c r="R1" s="837"/>
      <c r="S1" s="427" t="s">
        <v>8</v>
      </c>
      <c r="T1" s="427" t="s">
        <v>9</v>
      </c>
      <c r="U1" s="244" t="s">
        <v>10</v>
      </c>
      <c r="V1" s="243" t="s">
        <v>11</v>
      </c>
      <c r="W1" s="245" t="s">
        <v>26</v>
      </c>
      <c r="X1" s="246" t="s">
        <v>27</v>
      </c>
      <c r="Y1" s="838" t="s">
        <v>20</v>
      </c>
      <c r="Z1" s="753"/>
      <c r="AA1" s="753"/>
      <c r="AB1" s="754"/>
      <c r="AC1" s="838" t="s">
        <v>61</v>
      </c>
      <c r="AD1" s="753"/>
      <c r="AE1" s="753"/>
      <c r="AF1" s="754"/>
      <c r="AG1" s="838" t="s">
        <v>62</v>
      </c>
      <c r="AH1" s="753"/>
      <c r="AI1" s="753"/>
      <c r="AJ1" s="754"/>
      <c r="AK1" s="838" t="s">
        <v>63</v>
      </c>
      <c r="AL1" s="753"/>
      <c r="AM1" s="753"/>
      <c r="AN1" s="754"/>
      <c r="AP1" s="402" t="s">
        <v>147</v>
      </c>
      <c r="AQ1" s="397"/>
      <c r="AR1" s="397"/>
      <c r="AS1" s="402" t="s">
        <v>147</v>
      </c>
    </row>
    <row r="2" spans="1:46" ht="14.95" customHeight="1" thickBot="1" x14ac:dyDescent="0.3">
      <c r="A2" s="247" t="s">
        <v>19</v>
      </c>
      <c r="B2" s="248" t="s">
        <v>18</v>
      </c>
      <c r="C2" s="249" t="s">
        <v>17</v>
      </c>
      <c r="D2" s="249" t="s">
        <v>41</v>
      </c>
      <c r="E2" s="250" t="s">
        <v>16</v>
      </c>
      <c r="F2" s="250" t="s">
        <v>4</v>
      </c>
      <c r="G2" s="250" t="s">
        <v>5</v>
      </c>
      <c r="H2" s="251" t="s">
        <v>12</v>
      </c>
      <c r="I2" s="251" t="s">
        <v>3</v>
      </c>
      <c r="J2" s="251" t="s">
        <v>12</v>
      </c>
      <c r="K2" s="251" t="s">
        <v>13</v>
      </c>
      <c r="L2" s="251" t="s">
        <v>2</v>
      </c>
      <c r="M2" s="251" t="s">
        <v>14</v>
      </c>
      <c r="N2" s="251" t="s">
        <v>15</v>
      </c>
      <c r="O2" s="251" t="s">
        <v>16</v>
      </c>
      <c r="P2" s="251" t="s">
        <v>21</v>
      </c>
      <c r="Q2" s="251" t="s">
        <v>22</v>
      </c>
      <c r="R2" s="251" t="s">
        <v>12</v>
      </c>
      <c r="S2" s="252"/>
      <c r="T2" s="253"/>
      <c r="U2" s="254"/>
      <c r="V2" s="252"/>
      <c r="W2" s="255"/>
      <c r="X2" s="256"/>
      <c r="Y2" s="341" t="s">
        <v>0</v>
      </c>
      <c r="Z2" s="341" t="s">
        <v>1</v>
      </c>
      <c r="AA2" s="341" t="s">
        <v>2</v>
      </c>
      <c r="AB2" s="341" t="s">
        <v>3</v>
      </c>
      <c r="AC2" s="341" t="s">
        <v>0</v>
      </c>
      <c r="AD2" s="341" t="s">
        <v>1</v>
      </c>
      <c r="AE2" s="341" t="s">
        <v>2</v>
      </c>
      <c r="AF2" s="341" t="s">
        <v>3</v>
      </c>
      <c r="AG2" s="341" t="s">
        <v>0</v>
      </c>
      <c r="AH2" s="341" t="s">
        <v>1</v>
      </c>
      <c r="AI2" s="341" t="s">
        <v>2</v>
      </c>
      <c r="AJ2" s="341" t="s">
        <v>3</v>
      </c>
      <c r="AK2" s="341" t="s">
        <v>0</v>
      </c>
      <c r="AL2" s="341" t="s">
        <v>1</v>
      </c>
      <c r="AM2" s="341" t="s">
        <v>2</v>
      </c>
      <c r="AN2" s="341" t="s">
        <v>3</v>
      </c>
      <c r="AP2" s="367" t="s">
        <v>107</v>
      </c>
      <c r="AQ2" s="204"/>
      <c r="AS2" s="368" t="s">
        <v>130</v>
      </c>
      <c r="AT2" s="204"/>
    </row>
    <row r="3" spans="1:46" ht="14.95" customHeight="1" thickBot="1" x14ac:dyDescent="0.35">
      <c r="A3" s="528">
        <v>44598</v>
      </c>
      <c r="B3" s="529" t="s">
        <v>46</v>
      </c>
      <c r="C3" s="529" t="s">
        <v>33</v>
      </c>
      <c r="D3" s="529" t="s">
        <v>113</v>
      </c>
      <c r="E3" s="530" t="s">
        <v>1</v>
      </c>
      <c r="F3" s="530">
        <v>37</v>
      </c>
      <c r="G3" s="530">
        <v>10</v>
      </c>
      <c r="H3" s="530">
        <v>1</v>
      </c>
      <c r="I3" s="530">
        <v>0</v>
      </c>
      <c r="J3" s="530">
        <v>5</v>
      </c>
      <c r="K3" s="530">
        <v>3</v>
      </c>
      <c r="L3" s="530">
        <v>0</v>
      </c>
      <c r="M3" s="530">
        <v>2</v>
      </c>
      <c r="N3" s="530">
        <v>0</v>
      </c>
      <c r="O3" s="530">
        <v>0</v>
      </c>
      <c r="P3" s="530">
        <v>0</v>
      </c>
      <c r="Q3" s="530">
        <v>0</v>
      </c>
      <c r="R3" s="530">
        <v>1</v>
      </c>
      <c r="S3" s="531">
        <v>78750</v>
      </c>
      <c r="T3" s="543" t="s">
        <v>281</v>
      </c>
      <c r="U3" s="533" t="s">
        <v>282</v>
      </c>
      <c r="V3" s="531" t="s">
        <v>283</v>
      </c>
      <c r="W3" s="534" t="s">
        <v>284</v>
      </c>
      <c r="X3" s="535" t="s">
        <v>285</v>
      </c>
      <c r="Y3" s="536">
        <v>1</v>
      </c>
      <c r="Z3" s="536">
        <v>1</v>
      </c>
      <c r="AA3" s="536">
        <v>0</v>
      </c>
      <c r="AB3" s="537">
        <v>0</v>
      </c>
      <c r="AC3" s="536">
        <v>1</v>
      </c>
      <c r="AD3" s="536">
        <v>1</v>
      </c>
      <c r="AE3" s="536">
        <v>0</v>
      </c>
      <c r="AF3" s="537">
        <v>0</v>
      </c>
      <c r="AG3" s="536">
        <v>0</v>
      </c>
      <c r="AH3" s="536">
        <v>0</v>
      </c>
      <c r="AI3" s="536">
        <v>0</v>
      </c>
      <c r="AJ3" s="537">
        <v>0</v>
      </c>
      <c r="AK3" s="536">
        <v>0</v>
      </c>
      <c r="AL3" s="536">
        <v>0</v>
      </c>
      <c r="AM3" s="536">
        <v>0</v>
      </c>
      <c r="AN3" s="537">
        <v>0</v>
      </c>
      <c r="AP3" s="386" t="s">
        <v>132</v>
      </c>
      <c r="AQ3" s="387">
        <f>Francealltestshistplayed</f>
        <v>796</v>
      </c>
      <c r="AS3" s="386" t="s">
        <v>132</v>
      </c>
      <c r="AT3" s="387">
        <f>FranceRWChistplayed</f>
        <v>52</v>
      </c>
    </row>
    <row r="4" spans="1:46" ht="14.95" customHeight="1" thickBot="1" x14ac:dyDescent="0.35">
      <c r="A4" s="528">
        <v>44604</v>
      </c>
      <c r="B4" s="529" t="s">
        <v>46</v>
      </c>
      <c r="C4" s="529" t="s">
        <v>39</v>
      </c>
      <c r="D4" s="529" t="s">
        <v>113</v>
      </c>
      <c r="E4" s="530" t="s">
        <v>1</v>
      </c>
      <c r="F4" s="530">
        <v>30</v>
      </c>
      <c r="G4" s="530">
        <v>24</v>
      </c>
      <c r="H4" s="530">
        <v>0</v>
      </c>
      <c r="I4" s="530">
        <v>0</v>
      </c>
      <c r="J4" s="530">
        <v>2</v>
      </c>
      <c r="K4" s="530">
        <v>1</v>
      </c>
      <c r="L4" s="530">
        <v>0</v>
      </c>
      <c r="M4" s="530">
        <v>6</v>
      </c>
      <c r="N4" s="530">
        <v>0</v>
      </c>
      <c r="O4" s="530">
        <v>0</v>
      </c>
      <c r="P4" s="530">
        <v>0</v>
      </c>
      <c r="Q4" s="530">
        <v>1</v>
      </c>
      <c r="R4" s="530">
        <v>3</v>
      </c>
      <c r="S4" s="531">
        <v>80000</v>
      </c>
      <c r="T4" s="543" t="s">
        <v>309</v>
      </c>
      <c r="U4" s="533" t="s">
        <v>261</v>
      </c>
      <c r="V4" s="531" t="s">
        <v>267</v>
      </c>
      <c r="W4" s="534" t="s">
        <v>266</v>
      </c>
      <c r="X4" s="535" t="s">
        <v>269</v>
      </c>
      <c r="Y4" s="536">
        <v>1</v>
      </c>
      <c r="Z4" s="536">
        <v>1</v>
      </c>
      <c r="AA4" s="536">
        <v>0</v>
      </c>
      <c r="AB4" s="537">
        <v>0</v>
      </c>
      <c r="AC4" s="536">
        <v>1</v>
      </c>
      <c r="AD4" s="536">
        <v>1</v>
      </c>
      <c r="AE4" s="536">
        <v>0</v>
      </c>
      <c r="AF4" s="537">
        <v>0</v>
      </c>
      <c r="AG4" s="536">
        <v>0</v>
      </c>
      <c r="AH4" s="536">
        <v>0</v>
      </c>
      <c r="AI4" s="536">
        <v>0</v>
      </c>
      <c r="AJ4" s="537">
        <v>0</v>
      </c>
      <c r="AK4" s="536">
        <v>0</v>
      </c>
      <c r="AL4" s="536">
        <v>0</v>
      </c>
      <c r="AM4" s="536">
        <v>0</v>
      </c>
      <c r="AN4" s="537">
        <v>0</v>
      </c>
      <c r="AP4" s="388" t="s">
        <v>133</v>
      </c>
      <c r="AQ4" s="389">
        <f>Francealltestshistwon</f>
        <v>436</v>
      </c>
      <c r="AS4" s="388" t="s">
        <v>133</v>
      </c>
      <c r="AT4" s="389">
        <f>FranceRWChistwon</f>
        <v>36</v>
      </c>
    </row>
    <row r="5" spans="1:46" ht="14.95" customHeight="1" thickBot="1" x14ac:dyDescent="0.35">
      <c r="A5" s="501">
        <v>44618</v>
      </c>
      <c r="B5" s="503" t="s">
        <v>46</v>
      </c>
      <c r="C5" s="503" t="s">
        <v>35</v>
      </c>
      <c r="D5" s="503" t="s">
        <v>117</v>
      </c>
      <c r="E5" s="504" t="s">
        <v>1</v>
      </c>
      <c r="F5" s="504">
        <v>36</v>
      </c>
      <c r="G5" s="504">
        <v>17</v>
      </c>
      <c r="H5" s="504">
        <v>1</v>
      </c>
      <c r="I5" s="504">
        <v>0</v>
      </c>
      <c r="J5" s="504">
        <v>6</v>
      </c>
      <c r="K5" s="504">
        <v>3</v>
      </c>
      <c r="L5" s="504">
        <v>0</v>
      </c>
      <c r="M5" s="504">
        <v>0</v>
      </c>
      <c r="N5" s="504">
        <v>0</v>
      </c>
      <c r="O5" s="504">
        <v>0</v>
      </c>
      <c r="P5" s="504">
        <v>0</v>
      </c>
      <c r="Q5" s="504">
        <v>0</v>
      </c>
      <c r="R5" s="504">
        <v>2</v>
      </c>
      <c r="S5" s="511">
        <v>67144</v>
      </c>
      <c r="T5" s="512" t="s">
        <v>325</v>
      </c>
      <c r="U5" s="513" t="s">
        <v>322</v>
      </c>
      <c r="V5" s="511" t="s">
        <v>323</v>
      </c>
      <c r="W5" s="506" t="s">
        <v>324</v>
      </c>
      <c r="X5" s="514" t="s">
        <v>305</v>
      </c>
      <c r="Y5" s="509">
        <v>1</v>
      </c>
      <c r="Z5" s="509">
        <v>1</v>
      </c>
      <c r="AA5" s="509">
        <v>0</v>
      </c>
      <c r="AB5" s="510">
        <v>0</v>
      </c>
      <c r="AC5" s="509">
        <v>0</v>
      </c>
      <c r="AD5" s="509">
        <v>0</v>
      </c>
      <c r="AE5" s="509">
        <v>0</v>
      </c>
      <c r="AF5" s="510">
        <v>0</v>
      </c>
      <c r="AG5" s="509">
        <v>1</v>
      </c>
      <c r="AH5" s="509">
        <v>0</v>
      </c>
      <c r="AI5" s="509">
        <v>0</v>
      </c>
      <c r="AJ5" s="510">
        <v>1</v>
      </c>
      <c r="AK5" s="509">
        <v>0</v>
      </c>
      <c r="AL5" s="509">
        <v>0</v>
      </c>
      <c r="AM5" s="509">
        <v>0</v>
      </c>
      <c r="AN5" s="510">
        <v>0</v>
      </c>
      <c r="AP5" s="388" t="s">
        <v>139</v>
      </c>
      <c r="AQ5" s="389">
        <f>Francealltestshistdrawn</f>
        <v>33</v>
      </c>
      <c r="AS5" s="388" t="s">
        <v>139</v>
      </c>
      <c r="AT5" s="389">
        <f>FranceRWChistdrawn</f>
        <v>1</v>
      </c>
    </row>
    <row r="6" spans="1:46" ht="14.95" customHeight="1" thickBot="1" x14ac:dyDescent="0.35">
      <c r="A6" s="501">
        <v>44631</v>
      </c>
      <c r="B6" s="503" t="s">
        <v>46</v>
      </c>
      <c r="C6" s="503" t="s">
        <v>32</v>
      </c>
      <c r="D6" s="503" t="s">
        <v>112</v>
      </c>
      <c r="E6" s="504" t="s">
        <v>1</v>
      </c>
      <c r="F6" s="504">
        <v>13</v>
      </c>
      <c r="G6" s="504">
        <v>9</v>
      </c>
      <c r="H6" s="504">
        <v>0</v>
      </c>
      <c r="I6" s="504">
        <v>0</v>
      </c>
      <c r="J6" s="504">
        <v>1</v>
      </c>
      <c r="K6" s="504">
        <v>1</v>
      </c>
      <c r="L6" s="504">
        <v>0</v>
      </c>
      <c r="M6" s="504">
        <v>2</v>
      </c>
      <c r="N6" s="504">
        <v>0</v>
      </c>
      <c r="O6" s="504">
        <v>0</v>
      </c>
      <c r="P6" s="504">
        <v>0</v>
      </c>
      <c r="Q6" s="504">
        <v>1</v>
      </c>
      <c r="R6" s="504">
        <v>0</v>
      </c>
      <c r="S6" s="511">
        <v>63208</v>
      </c>
      <c r="T6" s="512" t="s">
        <v>351</v>
      </c>
      <c r="U6" s="513" t="s">
        <v>339</v>
      </c>
      <c r="V6" s="511" t="s">
        <v>323</v>
      </c>
      <c r="W6" s="506" t="s">
        <v>258</v>
      </c>
      <c r="X6" s="514" t="s">
        <v>289</v>
      </c>
      <c r="Y6" s="509">
        <v>1</v>
      </c>
      <c r="Z6" s="509">
        <v>1</v>
      </c>
      <c r="AA6" s="509">
        <v>0</v>
      </c>
      <c r="AB6" s="510">
        <v>0</v>
      </c>
      <c r="AC6" s="509">
        <v>0</v>
      </c>
      <c r="AD6" s="509">
        <v>0</v>
      </c>
      <c r="AE6" s="509">
        <v>0</v>
      </c>
      <c r="AF6" s="510">
        <v>0</v>
      </c>
      <c r="AG6" s="509">
        <v>1</v>
      </c>
      <c r="AH6" s="509">
        <v>1</v>
      </c>
      <c r="AI6" s="509">
        <v>0</v>
      </c>
      <c r="AJ6" s="510">
        <v>0</v>
      </c>
      <c r="AK6" s="509">
        <v>0</v>
      </c>
      <c r="AL6" s="509">
        <v>0</v>
      </c>
      <c r="AM6" s="509">
        <v>0</v>
      </c>
      <c r="AN6" s="510">
        <v>0</v>
      </c>
      <c r="AP6" s="388" t="s">
        <v>134</v>
      </c>
      <c r="AQ6" s="389">
        <f>Francealltestshistlost</f>
        <v>327</v>
      </c>
      <c r="AS6" s="388" t="s">
        <v>134</v>
      </c>
      <c r="AT6" s="389">
        <f>FranceRWChistlost</f>
        <v>15</v>
      </c>
    </row>
    <row r="7" spans="1:46" ht="14.95" customHeight="1" thickBot="1" x14ac:dyDescent="0.35">
      <c r="A7" s="528">
        <v>44639</v>
      </c>
      <c r="B7" s="529" t="s">
        <v>46</v>
      </c>
      <c r="C7" s="529" t="s">
        <v>30</v>
      </c>
      <c r="D7" s="529" t="s">
        <v>113</v>
      </c>
      <c r="E7" s="530" t="s">
        <v>1</v>
      </c>
      <c r="F7" s="530">
        <v>25</v>
      </c>
      <c r="G7" s="530">
        <v>13</v>
      </c>
      <c r="H7" s="530">
        <v>0</v>
      </c>
      <c r="I7" s="530">
        <v>0</v>
      </c>
      <c r="J7" s="530">
        <v>3</v>
      </c>
      <c r="K7" s="530">
        <v>2</v>
      </c>
      <c r="L7" s="530">
        <v>0</v>
      </c>
      <c r="M7" s="530">
        <v>2</v>
      </c>
      <c r="N7" s="530">
        <v>0</v>
      </c>
      <c r="O7" s="530">
        <v>0</v>
      </c>
      <c r="P7" s="530">
        <v>0</v>
      </c>
      <c r="Q7" s="530">
        <v>0</v>
      </c>
      <c r="R7" s="530">
        <v>1</v>
      </c>
      <c r="S7" s="534">
        <v>80000</v>
      </c>
      <c r="T7" s="554" t="s">
        <v>391</v>
      </c>
      <c r="U7" s="534" t="s">
        <v>258</v>
      </c>
      <c r="V7" s="534" t="s">
        <v>368</v>
      </c>
      <c r="W7" s="534" t="s">
        <v>282</v>
      </c>
      <c r="X7" s="535" t="s">
        <v>299</v>
      </c>
      <c r="Y7" s="536">
        <v>1</v>
      </c>
      <c r="Z7" s="536">
        <v>1</v>
      </c>
      <c r="AA7" s="536">
        <v>0</v>
      </c>
      <c r="AB7" s="537">
        <v>0</v>
      </c>
      <c r="AC7" s="536">
        <v>1</v>
      </c>
      <c r="AD7" s="536">
        <v>1</v>
      </c>
      <c r="AE7" s="536">
        <v>0</v>
      </c>
      <c r="AF7" s="537">
        <v>0</v>
      </c>
      <c r="AG7" s="536">
        <v>0</v>
      </c>
      <c r="AH7" s="536">
        <v>0</v>
      </c>
      <c r="AI7" s="536">
        <v>0</v>
      </c>
      <c r="AJ7" s="537">
        <v>0</v>
      </c>
      <c r="AK7" s="536">
        <v>0</v>
      </c>
      <c r="AL7" s="536">
        <v>0</v>
      </c>
      <c r="AM7" s="536">
        <v>0</v>
      </c>
      <c r="AN7" s="537">
        <v>0</v>
      </c>
      <c r="AP7" s="388" t="s">
        <v>140</v>
      </c>
      <c r="AQ7" s="389">
        <f>Francealltestshistptsscored</f>
        <v>14923</v>
      </c>
      <c r="AS7" s="388" t="s">
        <v>140</v>
      </c>
      <c r="AT7" s="389">
        <f>FranceRWChistptsscored</f>
        <v>1585</v>
      </c>
    </row>
    <row r="8" spans="1:46" ht="14.95" customHeight="1" thickBot="1" x14ac:dyDescent="0.3">
      <c r="A8" s="518">
        <v>44744</v>
      </c>
      <c r="B8" s="517" t="s">
        <v>45</v>
      </c>
      <c r="C8" s="517" t="s">
        <v>36</v>
      </c>
      <c r="D8" s="517" t="s">
        <v>470</v>
      </c>
      <c r="E8" s="519" t="s">
        <v>1</v>
      </c>
      <c r="F8" s="504">
        <v>42</v>
      </c>
      <c r="G8" s="504">
        <v>23</v>
      </c>
      <c r="H8" s="504" t="s">
        <v>106</v>
      </c>
      <c r="I8" s="504" t="s">
        <v>106</v>
      </c>
      <c r="J8" s="504">
        <v>5</v>
      </c>
      <c r="K8" s="504">
        <v>4</v>
      </c>
      <c r="L8" s="504">
        <v>0</v>
      </c>
      <c r="M8" s="504">
        <v>3</v>
      </c>
      <c r="N8" s="504">
        <v>0</v>
      </c>
      <c r="O8" s="504">
        <v>0</v>
      </c>
      <c r="P8" s="504" t="s">
        <v>106</v>
      </c>
      <c r="Q8" s="504" t="s">
        <v>106</v>
      </c>
      <c r="R8" s="504">
        <v>2</v>
      </c>
      <c r="S8" s="506">
        <v>24570</v>
      </c>
      <c r="T8" s="680" t="s">
        <v>499</v>
      </c>
      <c r="U8" s="506" t="s">
        <v>299</v>
      </c>
      <c r="V8" s="506" t="s">
        <v>267</v>
      </c>
      <c r="W8" s="506" t="s">
        <v>305</v>
      </c>
      <c r="X8" s="506" t="s">
        <v>500</v>
      </c>
      <c r="Y8" s="509">
        <v>1</v>
      </c>
      <c r="Z8" s="509">
        <v>1</v>
      </c>
      <c r="AA8" s="509">
        <v>0</v>
      </c>
      <c r="AB8" s="510">
        <v>0</v>
      </c>
      <c r="AC8" s="509">
        <v>0</v>
      </c>
      <c r="AD8" s="509">
        <v>0</v>
      </c>
      <c r="AE8" s="509">
        <v>0</v>
      </c>
      <c r="AF8" s="510">
        <v>0</v>
      </c>
      <c r="AG8" s="509">
        <v>1</v>
      </c>
      <c r="AH8" s="509">
        <v>1</v>
      </c>
      <c r="AI8" s="509">
        <v>0</v>
      </c>
      <c r="AJ8" s="510">
        <v>0</v>
      </c>
      <c r="AK8" s="509">
        <v>0</v>
      </c>
      <c r="AL8" s="509">
        <v>0</v>
      </c>
      <c r="AM8" s="509">
        <v>0</v>
      </c>
      <c r="AN8" s="510">
        <v>0</v>
      </c>
      <c r="AP8" s="388" t="s">
        <v>141</v>
      </c>
      <c r="AQ8" s="389">
        <f>Francealltestshistptscon</f>
        <v>12360</v>
      </c>
      <c r="AS8" s="388" t="s">
        <v>141</v>
      </c>
      <c r="AT8" s="389">
        <f>FranceRWChistptsagainst</f>
        <v>966</v>
      </c>
    </row>
    <row r="9" spans="1:46" ht="14.95" customHeight="1" thickBot="1" x14ac:dyDescent="0.3">
      <c r="A9" s="518">
        <v>44751</v>
      </c>
      <c r="B9" s="517" t="s">
        <v>45</v>
      </c>
      <c r="C9" s="517" t="s">
        <v>36</v>
      </c>
      <c r="D9" s="517" t="s">
        <v>471</v>
      </c>
      <c r="E9" s="519" t="s">
        <v>1</v>
      </c>
      <c r="F9" s="504">
        <v>20</v>
      </c>
      <c r="G9" s="504">
        <v>15</v>
      </c>
      <c r="H9" s="504" t="s">
        <v>106</v>
      </c>
      <c r="I9" s="504" t="s">
        <v>106</v>
      </c>
      <c r="J9" s="504">
        <v>2</v>
      </c>
      <c r="K9" s="504">
        <v>2</v>
      </c>
      <c r="L9" s="504">
        <v>0</v>
      </c>
      <c r="M9" s="504">
        <v>2</v>
      </c>
      <c r="N9" s="504">
        <v>0</v>
      </c>
      <c r="O9" s="504">
        <v>0</v>
      </c>
      <c r="P9" s="504" t="s">
        <v>106</v>
      </c>
      <c r="Q9" s="504" t="s">
        <v>106</v>
      </c>
      <c r="R9" s="504">
        <v>2</v>
      </c>
      <c r="S9" s="506">
        <v>57011</v>
      </c>
      <c r="T9" s="610" t="s">
        <v>559</v>
      </c>
      <c r="U9" s="506" t="s">
        <v>282</v>
      </c>
      <c r="V9" s="506" t="s">
        <v>267</v>
      </c>
      <c r="W9" s="506" t="s">
        <v>299</v>
      </c>
      <c r="X9" s="506" t="s">
        <v>305</v>
      </c>
      <c r="Y9" s="509">
        <v>1</v>
      </c>
      <c r="Z9" s="509">
        <v>1</v>
      </c>
      <c r="AA9" s="509">
        <v>0</v>
      </c>
      <c r="AB9" s="510">
        <v>0</v>
      </c>
      <c r="AC9" s="509">
        <v>0</v>
      </c>
      <c r="AD9" s="509">
        <v>0</v>
      </c>
      <c r="AE9" s="509">
        <v>0</v>
      </c>
      <c r="AF9" s="510">
        <v>0</v>
      </c>
      <c r="AG9" s="509">
        <v>1</v>
      </c>
      <c r="AH9" s="509">
        <v>1</v>
      </c>
      <c r="AI9" s="509">
        <v>0</v>
      </c>
      <c r="AJ9" s="510">
        <v>0</v>
      </c>
      <c r="AK9" s="509">
        <v>0</v>
      </c>
      <c r="AL9" s="509">
        <v>0</v>
      </c>
      <c r="AM9" s="509">
        <v>0</v>
      </c>
      <c r="AN9" s="510">
        <v>0</v>
      </c>
      <c r="AP9" s="388" t="s">
        <v>131</v>
      </c>
      <c r="AQ9" s="389">
        <f>Francealltestshisttriesscored</f>
        <v>1868</v>
      </c>
      <c r="AS9" s="388" t="s">
        <v>131</v>
      </c>
      <c r="AT9" s="389">
        <f>FranceRWChisttriesscored</f>
        <v>183</v>
      </c>
    </row>
    <row r="10" spans="1:46" ht="14.95" customHeight="1" thickBot="1" x14ac:dyDescent="0.35">
      <c r="A10" s="545">
        <v>44870</v>
      </c>
      <c r="B10" s="546" t="s">
        <v>21</v>
      </c>
      <c r="C10" s="552" t="s">
        <v>29</v>
      </c>
      <c r="D10" s="546" t="s">
        <v>113</v>
      </c>
      <c r="E10" s="420" t="s">
        <v>1</v>
      </c>
      <c r="F10" s="530">
        <v>30</v>
      </c>
      <c r="G10" s="530">
        <v>29</v>
      </c>
      <c r="H10" s="530" t="s">
        <v>106</v>
      </c>
      <c r="I10" s="530" t="s">
        <v>106</v>
      </c>
      <c r="J10" s="530">
        <v>2</v>
      </c>
      <c r="K10" s="530">
        <v>1</v>
      </c>
      <c r="L10" s="530">
        <v>0</v>
      </c>
      <c r="M10" s="530">
        <v>6</v>
      </c>
      <c r="N10" s="530">
        <v>0</v>
      </c>
      <c r="O10" s="530">
        <v>0</v>
      </c>
      <c r="P10" s="530" t="s">
        <v>106</v>
      </c>
      <c r="Q10" s="530" t="s">
        <v>106</v>
      </c>
      <c r="R10" s="530">
        <v>2</v>
      </c>
      <c r="S10" s="534">
        <v>79000</v>
      </c>
      <c r="T10" s="554" t="s">
        <v>577</v>
      </c>
      <c r="U10" s="534" t="s">
        <v>258</v>
      </c>
      <c r="V10" s="534" t="s">
        <v>323</v>
      </c>
      <c r="W10" s="534" t="s">
        <v>266</v>
      </c>
      <c r="X10" s="534" t="s">
        <v>269</v>
      </c>
      <c r="Y10" s="536">
        <v>1</v>
      </c>
      <c r="Z10" s="536">
        <v>1</v>
      </c>
      <c r="AA10" s="536">
        <v>0</v>
      </c>
      <c r="AB10" s="537">
        <v>0</v>
      </c>
      <c r="AC10" s="536">
        <v>1</v>
      </c>
      <c r="AD10" s="536">
        <v>1</v>
      </c>
      <c r="AE10" s="536">
        <v>0</v>
      </c>
      <c r="AF10" s="537">
        <v>0</v>
      </c>
      <c r="AG10" s="536">
        <v>0</v>
      </c>
      <c r="AH10" s="536">
        <v>0</v>
      </c>
      <c r="AI10" s="536">
        <v>0</v>
      </c>
      <c r="AJ10" s="537">
        <v>0</v>
      </c>
      <c r="AK10" s="536">
        <v>0</v>
      </c>
      <c r="AL10" s="536">
        <v>0</v>
      </c>
      <c r="AM10" s="536">
        <v>0</v>
      </c>
      <c r="AN10" s="537">
        <v>0</v>
      </c>
    </row>
    <row r="11" spans="1:46" ht="14.95" customHeight="1" thickBot="1" x14ac:dyDescent="0.35">
      <c r="A11" s="545">
        <v>44877</v>
      </c>
      <c r="B11" s="546" t="s">
        <v>721</v>
      </c>
      <c r="C11" s="552" t="s">
        <v>177</v>
      </c>
      <c r="D11" s="546" t="s">
        <v>736</v>
      </c>
      <c r="E11" s="420" t="s">
        <v>1</v>
      </c>
      <c r="F11" s="530">
        <v>30</v>
      </c>
      <c r="G11" s="530">
        <v>26</v>
      </c>
      <c r="H11" s="530" t="s">
        <v>106</v>
      </c>
      <c r="I11" s="530" t="s">
        <v>106</v>
      </c>
      <c r="J11" s="530">
        <v>2</v>
      </c>
      <c r="K11" s="530">
        <v>1</v>
      </c>
      <c r="L11" s="530">
        <v>0</v>
      </c>
      <c r="M11" s="530">
        <v>6</v>
      </c>
      <c r="N11" s="530">
        <v>0</v>
      </c>
      <c r="O11" s="530">
        <v>1</v>
      </c>
      <c r="P11" s="530" t="s">
        <v>106</v>
      </c>
      <c r="Q11" s="530" t="s">
        <v>106</v>
      </c>
      <c r="R11" s="547">
        <v>2</v>
      </c>
      <c r="S11" s="439">
        <v>62500</v>
      </c>
      <c r="T11" s="554" t="s">
        <v>818</v>
      </c>
      <c r="U11" s="534" t="s">
        <v>304</v>
      </c>
      <c r="V11" s="534" t="s">
        <v>312</v>
      </c>
      <c r="W11" s="534" t="s">
        <v>322</v>
      </c>
      <c r="X11" s="534" t="s">
        <v>340</v>
      </c>
      <c r="Y11" s="536">
        <v>1</v>
      </c>
      <c r="Z11" s="536">
        <v>1</v>
      </c>
      <c r="AA11" s="536">
        <v>0</v>
      </c>
      <c r="AB11" s="537">
        <v>0</v>
      </c>
      <c r="AC11" s="536">
        <v>1</v>
      </c>
      <c r="AD11" s="536">
        <v>1</v>
      </c>
      <c r="AE11" s="536">
        <v>0</v>
      </c>
      <c r="AF11" s="537">
        <v>0</v>
      </c>
      <c r="AG11" s="536">
        <v>0</v>
      </c>
      <c r="AH11" s="536">
        <v>0</v>
      </c>
      <c r="AI11" s="536">
        <v>0</v>
      </c>
      <c r="AJ11" s="537">
        <v>0</v>
      </c>
      <c r="AK11" s="536">
        <v>0</v>
      </c>
      <c r="AL11" s="536">
        <v>0</v>
      </c>
      <c r="AM11" s="536">
        <v>0</v>
      </c>
      <c r="AN11" s="537">
        <v>0</v>
      </c>
    </row>
    <row r="12" spans="1:46" ht="14.95" customHeight="1" thickBot="1" x14ac:dyDescent="0.35">
      <c r="A12" s="550">
        <v>44884</v>
      </c>
      <c r="B12" s="551" t="s">
        <v>721</v>
      </c>
      <c r="C12" s="552" t="s">
        <v>36</v>
      </c>
      <c r="D12" s="553" t="s">
        <v>750</v>
      </c>
      <c r="E12" s="420" t="s">
        <v>1</v>
      </c>
      <c r="F12" s="530">
        <v>35</v>
      </c>
      <c r="G12" s="530">
        <v>17</v>
      </c>
      <c r="H12" s="530" t="s">
        <v>106</v>
      </c>
      <c r="I12" s="530" t="s">
        <v>106</v>
      </c>
      <c r="J12" s="530">
        <v>4</v>
      </c>
      <c r="K12" s="530">
        <v>3</v>
      </c>
      <c r="L12" s="530">
        <v>0</v>
      </c>
      <c r="M12" s="530">
        <v>3</v>
      </c>
      <c r="N12" s="530">
        <v>0</v>
      </c>
      <c r="O12" s="530">
        <v>0</v>
      </c>
      <c r="P12" s="530" t="s">
        <v>106</v>
      </c>
      <c r="Q12" s="530" t="s">
        <v>106</v>
      </c>
      <c r="R12" s="530">
        <v>2</v>
      </c>
      <c r="S12" s="439">
        <v>32000</v>
      </c>
      <c r="T12" s="564" t="s">
        <v>846</v>
      </c>
      <c r="U12" s="439" t="s">
        <v>313</v>
      </c>
      <c r="V12" s="534" t="s">
        <v>323</v>
      </c>
      <c r="W12" s="439" t="s">
        <v>299</v>
      </c>
      <c r="X12" s="534" t="s">
        <v>305</v>
      </c>
      <c r="Y12" s="536">
        <v>1</v>
      </c>
      <c r="Z12" s="536">
        <v>1</v>
      </c>
      <c r="AA12" s="536">
        <v>0</v>
      </c>
      <c r="AB12" s="537">
        <v>0</v>
      </c>
      <c r="AC12" s="536">
        <v>1</v>
      </c>
      <c r="AD12" s="536">
        <v>1</v>
      </c>
      <c r="AE12" s="536">
        <v>0</v>
      </c>
      <c r="AF12" s="537">
        <v>0</v>
      </c>
      <c r="AG12" s="536">
        <v>0</v>
      </c>
      <c r="AH12" s="536">
        <v>0</v>
      </c>
      <c r="AI12" s="536">
        <v>0</v>
      </c>
      <c r="AJ12" s="537">
        <v>0</v>
      </c>
      <c r="AK12" s="536">
        <v>0</v>
      </c>
      <c r="AL12" s="536">
        <v>0</v>
      </c>
      <c r="AM12" s="536">
        <v>0</v>
      </c>
      <c r="AN12" s="537">
        <v>0</v>
      </c>
    </row>
    <row r="13" spans="1:46" ht="14.95" thickBot="1" x14ac:dyDescent="0.3">
      <c r="A13" s="310"/>
      <c r="B13" s="311"/>
      <c r="C13" s="806" t="s">
        <v>108</v>
      </c>
      <c r="D13" s="807"/>
      <c r="E13" s="808"/>
      <c r="F13" s="309">
        <f t="shared" ref="F13:R13" si="0">SUM(F3:F7)</f>
        <v>141</v>
      </c>
      <c r="G13" s="309">
        <f t="shared" si="0"/>
        <v>73</v>
      </c>
      <c r="H13" s="309">
        <f t="shared" si="0"/>
        <v>2</v>
      </c>
      <c r="I13" s="309">
        <f t="shared" si="0"/>
        <v>0</v>
      </c>
      <c r="J13" s="309">
        <f t="shared" si="0"/>
        <v>17</v>
      </c>
      <c r="K13" s="309">
        <f t="shared" si="0"/>
        <v>10</v>
      </c>
      <c r="L13" s="309">
        <f t="shared" si="0"/>
        <v>0</v>
      </c>
      <c r="M13" s="309">
        <f t="shared" si="0"/>
        <v>12</v>
      </c>
      <c r="N13" s="309">
        <f t="shared" si="0"/>
        <v>0</v>
      </c>
      <c r="O13" s="309">
        <f t="shared" si="0"/>
        <v>0</v>
      </c>
      <c r="P13" s="309">
        <f t="shared" si="0"/>
        <v>0</v>
      </c>
      <c r="Q13" s="309">
        <f t="shared" si="0"/>
        <v>2</v>
      </c>
      <c r="R13" s="309">
        <f t="shared" si="0"/>
        <v>7</v>
      </c>
      <c r="W13" s="306"/>
      <c r="X13" s="452" t="s">
        <v>108</v>
      </c>
      <c r="Y13" s="309">
        <f t="shared" ref="Y13:AN13" si="1">SUM(Y3:Y7)</f>
        <v>5</v>
      </c>
      <c r="Z13" s="309">
        <f t="shared" si="1"/>
        <v>5</v>
      </c>
      <c r="AA13" s="309">
        <f t="shared" si="1"/>
        <v>0</v>
      </c>
      <c r="AB13" s="309">
        <f t="shared" si="1"/>
        <v>0</v>
      </c>
      <c r="AC13" s="307">
        <f t="shared" si="1"/>
        <v>3</v>
      </c>
      <c r="AD13" s="307">
        <f t="shared" si="1"/>
        <v>3</v>
      </c>
      <c r="AE13" s="307">
        <f t="shared" si="1"/>
        <v>0</v>
      </c>
      <c r="AF13" s="307">
        <f t="shared" si="1"/>
        <v>0</v>
      </c>
      <c r="AG13" s="308">
        <f t="shared" si="1"/>
        <v>2</v>
      </c>
      <c r="AH13" s="308">
        <f t="shared" si="1"/>
        <v>1</v>
      </c>
      <c r="AI13" s="308">
        <f t="shared" si="1"/>
        <v>0</v>
      </c>
      <c r="AJ13" s="308">
        <f t="shared" si="1"/>
        <v>1</v>
      </c>
      <c r="AK13" s="309">
        <f t="shared" si="1"/>
        <v>0</v>
      </c>
      <c r="AL13" s="309">
        <f t="shared" si="1"/>
        <v>0</v>
      </c>
      <c r="AM13" s="309">
        <f t="shared" si="1"/>
        <v>0</v>
      </c>
      <c r="AN13" s="309">
        <f t="shared" si="1"/>
        <v>0</v>
      </c>
    </row>
    <row r="14" spans="1:46" ht="15.8" customHeight="1" thickBot="1" x14ac:dyDescent="0.3">
      <c r="A14" s="310"/>
      <c r="B14" s="311"/>
      <c r="C14" s="771" t="s">
        <v>173</v>
      </c>
      <c r="D14" s="801"/>
      <c r="E14" s="802"/>
      <c r="F14" s="602">
        <f>SUM(F8:F12)</f>
        <v>157</v>
      </c>
      <c r="G14" s="602">
        <f>SUM(G8:G12)</f>
        <v>110</v>
      </c>
      <c r="H14" s="602" t="s">
        <v>106</v>
      </c>
      <c r="I14" s="602" t="s">
        <v>106</v>
      </c>
      <c r="J14" s="602">
        <f t="shared" ref="J14:O14" si="2">SUM(J8:J12)</f>
        <v>15</v>
      </c>
      <c r="K14" s="602">
        <f t="shared" si="2"/>
        <v>11</v>
      </c>
      <c r="L14" s="602">
        <f t="shared" si="2"/>
        <v>0</v>
      </c>
      <c r="M14" s="602">
        <f t="shared" si="2"/>
        <v>20</v>
      </c>
      <c r="N14" s="602">
        <f t="shared" si="2"/>
        <v>0</v>
      </c>
      <c r="O14" s="602">
        <f t="shared" si="2"/>
        <v>1</v>
      </c>
      <c r="P14" s="602" t="s">
        <v>106</v>
      </c>
      <c r="Q14" s="602" t="s">
        <v>106</v>
      </c>
      <c r="R14" s="602">
        <f>SUM(R8:R12)</f>
        <v>10</v>
      </c>
      <c r="S14" s="599"/>
      <c r="T14" s="599"/>
      <c r="U14" s="599"/>
      <c r="V14" s="599"/>
      <c r="W14" s="600"/>
      <c r="X14" s="609" t="s">
        <v>173</v>
      </c>
      <c r="Y14" s="602">
        <f t="shared" ref="Y14:AN14" si="3">SUM(Y8:Y12)</f>
        <v>5</v>
      </c>
      <c r="Z14" s="602">
        <f t="shared" si="3"/>
        <v>5</v>
      </c>
      <c r="AA14" s="602">
        <f t="shared" si="3"/>
        <v>0</v>
      </c>
      <c r="AB14" s="602">
        <f t="shared" si="3"/>
        <v>0</v>
      </c>
      <c r="AC14" s="603">
        <f t="shared" si="3"/>
        <v>3</v>
      </c>
      <c r="AD14" s="603">
        <f t="shared" si="3"/>
        <v>3</v>
      </c>
      <c r="AE14" s="603">
        <f t="shared" si="3"/>
        <v>0</v>
      </c>
      <c r="AF14" s="603">
        <f t="shared" si="3"/>
        <v>0</v>
      </c>
      <c r="AG14" s="604">
        <f t="shared" si="3"/>
        <v>2</v>
      </c>
      <c r="AH14" s="604">
        <f t="shared" si="3"/>
        <v>2</v>
      </c>
      <c r="AI14" s="604">
        <f t="shared" si="3"/>
        <v>0</v>
      </c>
      <c r="AJ14" s="604">
        <f t="shared" si="3"/>
        <v>0</v>
      </c>
      <c r="AK14" s="602">
        <f t="shared" si="3"/>
        <v>0</v>
      </c>
      <c r="AL14" s="602">
        <f t="shared" si="3"/>
        <v>0</v>
      </c>
      <c r="AM14" s="602">
        <f t="shared" si="3"/>
        <v>0</v>
      </c>
      <c r="AN14" s="602">
        <f t="shared" si="3"/>
        <v>0</v>
      </c>
    </row>
    <row r="15" spans="1:46" ht="14.95" thickBot="1" x14ac:dyDescent="0.3">
      <c r="A15" s="310"/>
      <c r="B15" s="311"/>
      <c r="C15" s="760" t="s">
        <v>107</v>
      </c>
      <c r="D15" s="761"/>
      <c r="E15" s="762"/>
      <c r="F15" s="422">
        <f t="shared" ref="F15:R15" si="4">SUM(F3:F12)</f>
        <v>298</v>
      </c>
      <c r="G15" s="422">
        <f t="shared" si="4"/>
        <v>183</v>
      </c>
      <c r="H15" s="493">
        <f t="shared" si="4"/>
        <v>2</v>
      </c>
      <c r="I15" s="422">
        <f t="shared" si="4"/>
        <v>0</v>
      </c>
      <c r="J15" s="422">
        <f t="shared" si="4"/>
        <v>32</v>
      </c>
      <c r="K15" s="422">
        <f t="shared" si="4"/>
        <v>21</v>
      </c>
      <c r="L15" s="422">
        <f t="shared" si="4"/>
        <v>0</v>
      </c>
      <c r="M15" s="422">
        <f t="shared" si="4"/>
        <v>32</v>
      </c>
      <c r="N15" s="422">
        <f t="shared" si="4"/>
        <v>0</v>
      </c>
      <c r="O15" s="422">
        <f t="shared" si="4"/>
        <v>1</v>
      </c>
      <c r="P15" s="422">
        <f t="shared" si="4"/>
        <v>0</v>
      </c>
      <c r="Q15" s="422">
        <f t="shared" si="4"/>
        <v>2</v>
      </c>
      <c r="R15" s="422">
        <f t="shared" si="4"/>
        <v>17</v>
      </c>
      <c r="S15" s="419"/>
      <c r="T15" s="419"/>
      <c r="U15" s="419"/>
      <c r="V15" s="419"/>
      <c r="W15" s="13"/>
      <c r="X15" s="447" t="s">
        <v>107</v>
      </c>
      <c r="Y15" s="422">
        <f t="shared" ref="Y15:AN15" si="5">SUM(Y3:Y12)</f>
        <v>10</v>
      </c>
      <c r="Z15" s="422">
        <f t="shared" si="5"/>
        <v>10</v>
      </c>
      <c r="AA15" s="422">
        <f t="shared" si="5"/>
        <v>0</v>
      </c>
      <c r="AB15" s="422">
        <f t="shared" si="5"/>
        <v>0</v>
      </c>
      <c r="AC15" s="420">
        <f t="shared" si="5"/>
        <v>6</v>
      </c>
      <c r="AD15" s="420">
        <f t="shared" si="5"/>
        <v>6</v>
      </c>
      <c r="AE15" s="420">
        <f t="shared" si="5"/>
        <v>0</v>
      </c>
      <c r="AF15" s="420">
        <f t="shared" si="5"/>
        <v>0</v>
      </c>
      <c r="AG15" s="421">
        <f t="shared" si="5"/>
        <v>4</v>
      </c>
      <c r="AH15" s="421">
        <f t="shared" si="5"/>
        <v>3</v>
      </c>
      <c r="AI15" s="421">
        <f t="shared" si="5"/>
        <v>0</v>
      </c>
      <c r="AJ15" s="421">
        <f t="shared" si="5"/>
        <v>1</v>
      </c>
      <c r="AK15" s="422">
        <f t="shared" si="5"/>
        <v>0</v>
      </c>
      <c r="AL15" s="422">
        <f t="shared" si="5"/>
        <v>0</v>
      </c>
      <c r="AM15" s="422">
        <f t="shared" si="5"/>
        <v>0</v>
      </c>
      <c r="AN15" s="422">
        <f t="shared" si="5"/>
        <v>0</v>
      </c>
    </row>
    <row r="16" spans="1:46" x14ac:dyDescent="0.25">
      <c r="A16" s="788" t="s">
        <v>759</v>
      </c>
      <c r="B16" s="743"/>
      <c r="C16" s="743"/>
      <c r="D16" s="743"/>
      <c r="E16" s="743"/>
      <c r="F16" s="743"/>
      <c r="G16" s="743"/>
      <c r="H16" s="743"/>
      <c r="I16" s="743"/>
      <c r="J16" s="743"/>
      <c r="K16" s="743"/>
      <c r="L16" s="743"/>
      <c r="M16" s="743"/>
      <c r="N16" s="743"/>
      <c r="O16" s="743"/>
      <c r="P16" s="743"/>
      <c r="Q16" s="743"/>
      <c r="R16" s="743"/>
      <c r="S16" s="743"/>
      <c r="T16" s="743"/>
      <c r="U16" s="743"/>
      <c r="V16" s="743"/>
      <c r="W16" s="743"/>
      <c r="X16" s="743"/>
      <c r="Y16" s="743"/>
      <c r="Z16" s="743"/>
      <c r="AA16" s="743"/>
      <c r="AB16" s="743"/>
      <c r="AC16" s="743"/>
      <c r="AD16" s="743"/>
      <c r="AE16" s="743"/>
      <c r="AF16" s="743"/>
      <c r="AG16" s="743"/>
      <c r="AH16" s="743"/>
      <c r="AI16" s="743"/>
      <c r="AJ16" s="743"/>
      <c r="AK16" s="743"/>
      <c r="AL16" s="743"/>
      <c r="AM16" s="743"/>
      <c r="AN16" s="743"/>
    </row>
    <row r="17" spans="1:40" x14ac:dyDescent="0.25">
      <c r="A17" s="788" t="s">
        <v>758</v>
      </c>
      <c r="B17" s="743"/>
      <c r="C17" s="743"/>
      <c r="D17" s="743"/>
      <c r="E17" s="743"/>
      <c r="F17" s="743"/>
      <c r="G17" s="743"/>
      <c r="H17" s="743"/>
      <c r="I17" s="743"/>
      <c r="J17" s="743"/>
      <c r="K17" s="743"/>
      <c r="L17" s="743"/>
      <c r="M17" s="743"/>
      <c r="N17" s="743"/>
      <c r="O17" s="743"/>
      <c r="P17" s="743"/>
      <c r="Q17" s="743"/>
      <c r="R17" s="743"/>
    </row>
    <row r="18" spans="1:40" x14ac:dyDescent="0.25">
      <c r="A18" t="s">
        <v>224</v>
      </c>
      <c r="F18" s="14"/>
      <c r="G18" s="14"/>
      <c r="H18" s="13"/>
      <c r="I18" s="14"/>
      <c r="J18" s="14"/>
      <c r="K18" s="14"/>
      <c r="L18" s="14"/>
      <c r="M18" s="14"/>
      <c r="N18" s="14"/>
      <c r="O18" s="14"/>
      <c r="P18" s="14"/>
      <c r="Q18" s="14"/>
      <c r="R18" s="14"/>
    </row>
    <row r="19" spans="1:40" x14ac:dyDescent="0.25">
      <c r="A19" t="s">
        <v>501</v>
      </c>
      <c r="F19" s="14"/>
      <c r="G19" s="14"/>
      <c r="H19" s="13"/>
      <c r="I19" s="14"/>
      <c r="J19" s="14"/>
      <c r="K19" s="14"/>
      <c r="L19" s="14"/>
      <c r="M19" s="14"/>
      <c r="N19" s="14"/>
      <c r="O19" s="14"/>
      <c r="P19" s="14"/>
      <c r="Q19" s="14"/>
      <c r="R19" s="14"/>
    </row>
    <row r="20" spans="1:40" x14ac:dyDescent="0.25">
      <c r="A20" t="s">
        <v>737</v>
      </c>
      <c r="F20" s="14"/>
      <c r="G20" s="14"/>
      <c r="H20" s="13"/>
      <c r="I20" s="14"/>
      <c r="J20" s="14"/>
      <c r="K20" s="14"/>
      <c r="L20" s="14"/>
      <c r="M20" s="14"/>
      <c r="N20" s="14"/>
      <c r="O20" s="14"/>
      <c r="P20" s="14"/>
      <c r="Q20" s="14"/>
      <c r="R20" s="14"/>
    </row>
    <row r="21" spans="1:40" x14ac:dyDescent="0.25">
      <c r="A21" t="s">
        <v>751</v>
      </c>
      <c r="F21" s="14"/>
      <c r="G21" s="14"/>
      <c r="H21" s="13"/>
      <c r="I21" s="14"/>
      <c r="J21" s="14"/>
      <c r="K21" s="14"/>
      <c r="L21" s="14"/>
      <c r="M21" s="14"/>
      <c r="N21" s="14"/>
      <c r="O21" s="14"/>
      <c r="P21" s="14"/>
      <c r="Q21" s="14"/>
      <c r="R21" s="14"/>
    </row>
    <row r="22" spans="1:40" x14ac:dyDescent="0.25">
      <c r="F22" s="14"/>
      <c r="G22" s="14"/>
      <c r="H22" s="13"/>
      <c r="I22" s="14"/>
      <c r="J22" s="14"/>
      <c r="K22" s="14"/>
      <c r="L22" s="14"/>
      <c r="M22" s="14"/>
      <c r="N22" s="14"/>
      <c r="O22" s="14"/>
      <c r="P22" s="14"/>
      <c r="Q22" s="14"/>
      <c r="R22" s="14"/>
    </row>
    <row r="23" spans="1:40" x14ac:dyDescent="0.25">
      <c r="A23" s="788" t="s">
        <v>167</v>
      </c>
      <c r="B23" s="743"/>
      <c r="C23" s="743"/>
      <c r="D23" s="743"/>
      <c r="E23" s="743"/>
      <c r="F23" s="743"/>
      <c r="G23" s="743"/>
      <c r="H23" s="743"/>
      <c r="I23" s="743"/>
      <c r="J23" s="743"/>
      <c r="K23" s="743"/>
      <c r="L23" s="743"/>
      <c r="M23" s="743"/>
      <c r="N23" s="743"/>
      <c r="O23" s="743"/>
      <c r="P23" s="743"/>
      <c r="Q23" s="743"/>
      <c r="R23" s="743"/>
      <c r="S23" s="743"/>
      <c r="T23" s="743"/>
      <c r="U23" s="743"/>
      <c r="V23" s="743"/>
      <c r="W23" s="743"/>
      <c r="X23" s="743"/>
      <c r="Y23" s="743"/>
      <c r="Z23" s="743"/>
      <c r="AA23" s="743"/>
      <c r="AB23" s="743"/>
      <c r="AC23" s="743"/>
      <c r="AD23" s="743"/>
      <c r="AE23" s="743"/>
      <c r="AF23" s="743"/>
      <c r="AG23" s="743"/>
      <c r="AH23" s="743"/>
      <c r="AI23" s="743"/>
      <c r="AJ23" s="743"/>
      <c r="AK23" s="743"/>
      <c r="AL23" s="743"/>
      <c r="AM23" s="743"/>
      <c r="AN23" s="743"/>
    </row>
    <row r="24" spans="1:40" x14ac:dyDescent="0.25">
      <c r="A24" s="155"/>
      <c r="B24" t="s">
        <v>44</v>
      </c>
    </row>
    <row r="25" spans="1:40" x14ac:dyDescent="0.25">
      <c r="A25" s="153"/>
      <c r="B25" t="s">
        <v>42</v>
      </c>
    </row>
    <row r="26" spans="1:40" x14ac:dyDescent="0.25">
      <c r="A26" s="154"/>
      <c r="B26" t="s">
        <v>43</v>
      </c>
    </row>
    <row r="27" spans="1:40" x14ac:dyDescent="0.25">
      <c r="A27" s="15" t="s">
        <v>28</v>
      </c>
    </row>
  </sheetData>
  <mergeCells count="16">
    <mergeCell ref="A23:AN23"/>
    <mergeCell ref="C14:E14"/>
    <mergeCell ref="C15:E15"/>
    <mergeCell ref="A16:AN16"/>
    <mergeCell ref="A1:C1"/>
    <mergeCell ref="E1:G1"/>
    <mergeCell ref="H1:I1"/>
    <mergeCell ref="J1:M1"/>
    <mergeCell ref="C13:E13"/>
    <mergeCell ref="Y1:AB1"/>
    <mergeCell ref="AC1:AF1"/>
    <mergeCell ref="AG1:AJ1"/>
    <mergeCell ref="AK1:AN1"/>
    <mergeCell ref="N1:O1"/>
    <mergeCell ref="P1:R1"/>
    <mergeCell ref="A17:R17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T27"/>
  <sheetViews>
    <sheetView workbookViewId="0">
      <pane ySplit="2" topLeftCell="A3" activePane="bottomLeft" state="frozen"/>
      <selection pane="bottomLeft" activeCell="U10" sqref="U10"/>
    </sheetView>
  </sheetViews>
  <sheetFormatPr defaultRowHeight="14.95" customHeight="1" x14ac:dyDescent="0.25"/>
  <cols>
    <col min="1" max="1" width="7.5" customWidth="1"/>
    <col min="2" max="2" width="4.5" bestFit="1" customWidth="1"/>
    <col min="3" max="3" width="12" bestFit="1" customWidth="1"/>
    <col min="4" max="4" width="4.875" bestFit="1" customWidth="1"/>
    <col min="5" max="5" width="3.625" customWidth="1"/>
    <col min="6" max="7" width="4" bestFit="1" customWidth="1"/>
    <col min="8" max="18" width="3.625" customWidth="1"/>
    <col min="19" max="20" width="6.375" customWidth="1"/>
    <col min="21" max="21" width="25.875" bestFit="1" customWidth="1"/>
    <col min="22" max="22" width="23.375" bestFit="1" customWidth="1"/>
    <col min="23" max="23" width="25.875" bestFit="1" customWidth="1"/>
    <col min="24" max="24" width="31" bestFit="1" customWidth="1"/>
    <col min="25" max="40" width="3.625" customWidth="1"/>
    <col min="42" max="42" width="13.125" bestFit="1" customWidth="1"/>
    <col min="45" max="45" width="13.125" bestFit="1" customWidth="1"/>
  </cols>
  <sheetData>
    <row r="1" spans="1:46" ht="14.95" customHeight="1" thickBot="1" x14ac:dyDescent="0.3">
      <c r="A1" s="845" t="s">
        <v>203</v>
      </c>
      <c r="B1" s="846"/>
      <c r="C1" s="846"/>
      <c r="D1" s="458"/>
      <c r="E1" s="847" t="s">
        <v>24</v>
      </c>
      <c r="F1" s="848"/>
      <c r="G1" s="849"/>
      <c r="H1" s="847" t="s">
        <v>23</v>
      </c>
      <c r="I1" s="849"/>
      <c r="J1" s="842" t="s">
        <v>6</v>
      </c>
      <c r="K1" s="844"/>
      <c r="L1" s="844"/>
      <c r="M1" s="843"/>
      <c r="N1" s="842" t="s">
        <v>7</v>
      </c>
      <c r="O1" s="843"/>
      <c r="P1" s="842" t="s">
        <v>25</v>
      </c>
      <c r="Q1" s="844"/>
      <c r="R1" s="843"/>
      <c r="S1" s="459" t="s">
        <v>8</v>
      </c>
      <c r="T1" s="459" t="s">
        <v>9</v>
      </c>
      <c r="U1" s="460" t="s">
        <v>10</v>
      </c>
      <c r="V1" s="461" t="s">
        <v>11</v>
      </c>
      <c r="W1" s="462" t="s">
        <v>26</v>
      </c>
      <c r="X1" s="463" t="s">
        <v>27</v>
      </c>
      <c r="Y1" s="839" t="s">
        <v>20</v>
      </c>
      <c r="Z1" s="840"/>
      <c r="AA1" s="840"/>
      <c r="AB1" s="841"/>
      <c r="AC1" s="839" t="s">
        <v>61</v>
      </c>
      <c r="AD1" s="840"/>
      <c r="AE1" s="840"/>
      <c r="AF1" s="841"/>
      <c r="AG1" s="839" t="s">
        <v>62</v>
      </c>
      <c r="AH1" s="840"/>
      <c r="AI1" s="840"/>
      <c r="AJ1" s="841"/>
      <c r="AK1" s="839" t="s">
        <v>63</v>
      </c>
      <c r="AL1" s="840"/>
      <c r="AM1" s="840"/>
      <c r="AN1" s="841"/>
      <c r="AP1" s="474" t="s">
        <v>148</v>
      </c>
      <c r="AQ1" s="397"/>
      <c r="AR1" s="397"/>
      <c r="AS1" s="474" t="s">
        <v>148</v>
      </c>
    </row>
    <row r="2" spans="1:46" ht="14.95" customHeight="1" thickBot="1" x14ac:dyDescent="0.3">
      <c r="A2" s="464" t="s">
        <v>19</v>
      </c>
      <c r="B2" s="465" t="s">
        <v>18</v>
      </c>
      <c r="C2" s="457" t="s">
        <v>17</v>
      </c>
      <c r="D2" s="457" t="s">
        <v>41</v>
      </c>
      <c r="E2" s="466" t="s">
        <v>16</v>
      </c>
      <c r="F2" s="466" t="s">
        <v>4</v>
      </c>
      <c r="G2" s="466" t="s">
        <v>5</v>
      </c>
      <c r="H2" s="467" t="s">
        <v>12</v>
      </c>
      <c r="I2" s="467" t="s">
        <v>3</v>
      </c>
      <c r="J2" s="467" t="s">
        <v>12</v>
      </c>
      <c r="K2" s="467" t="s">
        <v>13</v>
      </c>
      <c r="L2" s="467" t="s">
        <v>2</v>
      </c>
      <c r="M2" s="467" t="s">
        <v>14</v>
      </c>
      <c r="N2" s="467" t="s">
        <v>15</v>
      </c>
      <c r="O2" s="467" t="s">
        <v>16</v>
      </c>
      <c r="P2" s="467" t="s">
        <v>21</v>
      </c>
      <c r="Q2" s="467" t="s">
        <v>22</v>
      </c>
      <c r="R2" s="467" t="s">
        <v>12</v>
      </c>
      <c r="S2" s="468"/>
      <c r="T2" s="469"/>
      <c r="U2" s="470"/>
      <c r="V2" s="468"/>
      <c r="W2" s="471"/>
      <c r="X2" s="472"/>
      <c r="Y2" s="473" t="s">
        <v>0</v>
      </c>
      <c r="Z2" s="473" t="s">
        <v>1</v>
      </c>
      <c r="AA2" s="473" t="s">
        <v>2</v>
      </c>
      <c r="AB2" s="473" t="s">
        <v>3</v>
      </c>
      <c r="AC2" s="473" t="s">
        <v>0</v>
      </c>
      <c r="AD2" s="473" t="s">
        <v>1</v>
      </c>
      <c r="AE2" s="473" t="s">
        <v>2</v>
      </c>
      <c r="AF2" s="473" t="s">
        <v>3</v>
      </c>
      <c r="AG2" s="473" t="s">
        <v>0</v>
      </c>
      <c r="AH2" s="473" t="s">
        <v>1</v>
      </c>
      <c r="AI2" s="473" t="s">
        <v>2</v>
      </c>
      <c r="AJ2" s="473" t="s">
        <v>3</v>
      </c>
      <c r="AK2" s="473" t="s">
        <v>0</v>
      </c>
      <c r="AL2" s="473" t="s">
        <v>1</v>
      </c>
      <c r="AM2" s="473" t="s">
        <v>2</v>
      </c>
      <c r="AN2" s="473" t="s">
        <v>3</v>
      </c>
      <c r="AP2" s="367" t="s">
        <v>107</v>
      </c>
      <c r="AQ2" s="204"/>
      <c r="AS2" s="368" t="s">
        <v>130</v>
      </c>
      <c r="AT2" s="204"/>
    </row>
    <row r="3" spans="1:46" ht="14.95" customHeight="1" thickBot="1" x14ac:dyDescent="0.35">
      <c r="A3" s="545">
        <v>44598</v>
      </c>
      <c r="B3" s="529" t="s">
        <v>110</v>
      </c>
      <c r="C3" s="529" t="s">
        <v>125</v>
      </c>
      <c r="D3" s="529" t="s">
        <v>219</v>
      </c>
      <c r="E3" s="530" t="s">
        <v>2</v>
      </c>
      <c r="F3" s="530">
        <v>25</v>
      </c>
      <c r="G3" s="530">
        <v>25</v>
      </c>
      <c r="H3" s="530">
        <v>0</v>
      </c>
      <c r="I3" s="530">
        <v>0</v>
      </c>
      <c r="J3" s="530">
        <v>3</v>
      </c>
      <c r="K3" s="530">
        <v>2</v>
      </c>
      <c r="L3" s="530">
        <v>0</v>
      </c>
      <c r="M3" s="530">
        <v>2</v>
      </c>
      <c r="N3" s="530">
        <v>1</v>
      </c>
      <c r="O3" s="530">
        <v>0</v>
      </c>
      <c r="P3" s="530">
        <v>0</v>
      </c>
      <c r="Q3" s="530">
        <v>0</v>
      </c>
      <c r="R3" s="530">
        <v>3</v>
      </c>
      <c r="S3" s="531">
        <v>7000</v>
      </c>
      <c r="T3" s="543" t="s">
        <v>275</v>
      </c>
      <c r="U3" s="533" t="s">
        <v>276</v>
      </c>
      <c r="V3" s="531" t="s">
        <v>277</v>
      </c>
      <c r="W3" s="534" t="s">
        <v>278</v>
      </c>
      <c r="X3" s="535" t="s">
        <v>279</v>
      </c>
      <c r="Y3" s="536">
        <v>1</v>
      </c>
      <c r="Z3" s="536">
        <v>0</v>
      </c>
      <c r="AA3" s="536">
        <v>1</v>
      </c>
      <c r="AB3" s="537">
        <v>0</v>
      </c>
      <c r="AC3" s="536">
        <v>1</v>
      </c>
      <c r="AD3" s="536">
        <v>0</v>
      </c>
      <c r="AE3" s="536">
        <v>1</v>
      </c>
      <c r="AF3" s="537">
        <v>0</v>
      </c>
      <c r="AG3" s="536">
        <v>0</v>
      </c>
      <c r="AH3" s="536">
        <v>0</v>
      </c>
      <c r="AI3" s="536">
        <v>0</v>
      </c>
      <c r="AJ3" s="537">
        <v>0</v>
      </c>
      <c r="AK3" s="536">
        <v>0</v>
      </c>
      <c r="AL3" s="536">
        <v>0</v>
      </c>
      <c r="AM3" s="536">
        <v>0</v>
      </c>
      <c r="AN3" s="537">
        <v>0</v>
      </c>
      <c r="AP3" s="386" t="s">
        <v>132</v>
      </c>
      <c r="AQ3" s="387">
        <f>Georgiaalltestshistplayed</f>
        <v>256</v>
      </c>
      <c r="AS3" s="386" t="s">
        <v>132</v>
      </c>
      <c r="AT3" s="387">
        <f>GeorgiaRWChistplayed</f>
        <v>20</v>
      </c>
    </row>
    <row r="4" spans="1:46" ht="14.95" customHeight="1" thickBot="1" x14ac:dyDescent="0.35">
      <c r="A4" s="501">
        <v>44604</v>
      </c>
      <c r="B4" s="503" t="s">
        <v>110</v>
      </c>
      <c r="C4" s="503" t="s">
        <v>190</v>
      </c>
      <c r="D4" s="503" t="s">
        <v>196</v>
      </c>
      <c r="E4" s="504" t="s">
        <v>1</v>
      </c>
      <c r="F4" s="504">
        <v>72</v>
      </c>
      <c r="G4" s="504">
        <v>10</v>
      </c>
      <c r="H4" s="504">
        <v>1</v>
      </c>
      <c r="I4" s="504">
        <v>0</v>
      </c>
      <c r="J4" s="504">
        <v>12</v>
      </c>
      <c r="K4" s="504">
        <v>6</v>
      </c>
      <c r="L4" s="504">
        <v>0</v>
      </c>
      <c r="M4" s="504">
        <v>0</v>
      </c>
      <c r="N4" s="504">
        <v>0</v>
      </c>
      <c r="O4" s="504">
        <v>0</v>
      </c>
      <c r="P4" s="504">
        <v>0</v>
      </c>
      <c r="Q4" s="504">
        <v>0</v>
      </c>
      <c r="R4" s="504">
        <v>1</v>
      </c>
      <c r="S4" s="511">
        <v>900</v>
      </c>
      <c r="T4" s="512" t="s">
        <v>293</v>
      </c>
      <c r="U4" s="513" t="s">
        <v>278</v>
      </c>
      <c r="V4" s="511" t="s">
        <v>294</v>
      </c>
      <c r="W4" s="506" t="s">
        <v>295</v>
      </c>
      <c r="X4" s="514" t="s">
        <v>296</v>
      </c>
      <c r="Y4" s="509">
        <v>1</v>
      </c>
      <c r="Z4" s="509">
        <v>1</v>
      </c>
      <c r="AA4" s="509">
        <v>0</v>
      </c>
      <c r="AB4" s="510">
        <v>0</v>
      </c>
      <c r="AC4" s="509">
        <v>0</v>
      </c>
      <c r="AD4" s="509">
        <v>0</v>
      </c>
      <c r="AE4" s="509">
        <v>0</v>
      </c>
      <c r="AF4" s="510">
        <v>0</v>
      </c>
      <c r="AG4" s="509">
        <v>1</v>
      </c>
      <c r="AH4" s="509">
        <v>1</v>
      </c>
      <c r="AI4" s="509">
        <v>0</v>
      </c>
      <c r="AJ4" s="510">
        <v>0</v>
      </c>
      <c r="AK4" s="509">
        <v>0</v>
      </c>
      <c r="AL4" s="509">
        <v>0</v>
      </c>
      <c r="AM4" s="509">
        <v>0</v>
      </c>
      <c r="AN4" s="510">
        <v>0</v>
      </c>
      <c r="AP4" s="388" t="s">
        <v>133</v>
      </c>
      <c r="AQ4" s="389">
        <f>Georgiaalltestshistwon</f>
        <v>158</v>
      </c>
      <c r="AS4" s="388" t="s">
        <v>133</v>
      </c>
      <c r="AT4" s="389">
        <f>GeorgiaRWChistwon</f>
        <v>5</v>
      </c>
    </row>
    <row r="5" spans="1:46" ht="14.95" customHeight="1" thickBot="1" x14ac:dyDescent="0.3">
      <c r="A5" s="528">
        <v>44619</v>
      </c>
      <c r="B5" s="529" t="s">
        <v>110</v>
      </c>
      <c r="C5" s="529" t="s">
        <v>104</v>
      </c>
      <c r="D5" s="529" t="s">
        <v>171</v>
      </c>
      <c r="E5" s="530" t="s">
        <v>13</v>
      </c>
      <c r="F5" s="530"/>
      <c r="G5" s="530"/>
      <c r="H5" s="530"/>
      <c r="I5" s="530"/>
      <c r="J5" s="530"/>
      <c r="K5" s="530"/>
      <c r="L5" s="530"/>
      <c r="M5" s="530"/>
      <c r="N5" s="530"/>
      <c r="O5" s="530"/>
      <c r="P5" s="530"/>
      <c r="Q5" s="530"/>
      <c r="R5" s="530"/>
      <c r="S5" s="531"/>
      <c r="T5" s="580"/>
      <c r="U5" s="533" t="s">
        <v>336</v>
      </c>
      <c r="V5" s="531"/>
      <c r="W5" s="534"/>
      <c r="X5" s="535"/>
      <c r="Y5" s="536"/>
      <c r="Z5" s="536"/>
      <c r="AA5" s="536"/>
      <c r="AB5" s="537"/>
      <c r="AC5" s="536"/>
      <c r="AD5" s="536"/>
      <c r="AE5" s="536"/>
      <c r="AF5" s="537"/>
      <c r="AG5" s="536"/>
      <c r="AH5" s="536"/>
      <c r="AI5" s="536"/>
      <c r="AJ5" s="537"/>
      <c r="AK5" s="536"/>
      <c r="AL5" s="536"/>
      <c r="AM5" s="536"/>
      <c r="AN5" s="537"/>
      <c r="AP5" s="388" t="s">
        <v>139</v>
      </c>
      <c r="AQ5" s="389">
        <f>Georgiaalltestshistdrawn</f>
        <v>9</v>
      </c>
      <c r="AS5" s="388" t="s">
        <v>139</v>
      </c>
      <c r="AT5" s="389">
        <f>GeorgiaRWChistdrawn</f>
        <v>0</v>
      </c>
    </row>
    <row r="6" spans="1:46" ht="14.95" customHeight="1" thickBot="1" x14ac:dyDescent="0.35">
      <c r="A6" s="501">
        <v>44632</v>
      </c>
      <c r="B6" s="503" t="s">
        <v>110</v>
      </c>
      <c r="C6" s="503" t="s">
        <v>123</v>
      </c>
      <c r="D6" s="503" t="s">
        <v>193</v>
      </c>
      <c r="E6" s="504" t="s">
        <v>1</v>
      </c>
      <c r="F6" s="504">
        <v>26</v>
      </c>
      <c r="G6" s="504">
        <v>23</v>
      </c>
      <c r="H6" s="504">
        <v>1</v>
      </c>
      <c r="I6" s="504">
        <v>0</v>
      </c>
      <c r="J6" s="504">
        <v>4</v>
      </c>
      <c r="K6" s="504">
        <v>3</v>
      </c>
      <c r="L6" s="504">
        <v>0</v>
      </c>
      <c r="M6" s="504">
        <v>0</v>
      </c>
      <c r="N6" s="504">
        <v>2</v>
      </c>
      <c r="O6" s="504">
        <v>0</v>
      </c>
      <c r="P6" s="504">
        <v>0</v>
      </c>
      <c r="Q6" s="504">
        <v>1</v>
      </c>
      <c r="R6" s="504">
        <v>2</v>
      </c>
      <c r="S6" s="511">
        <v>6000</v>
      </c>
      <c r="T6" s="512" t="s">
        <v>357</v>
      </c>
      <c r="U6" s="513" t="s">
        <v>353</v>
      </c>
      <c r="V6" s="511" t="s">
        <v>354</v>
      </c>
      <c r="W6" s="506" t="s">
        <v>355</v>
      </c>
      <c r="X6" s="514" t="s">
        <v>356</v>
      </c>
      <c r="Y6" s="509">
        <v>1</v>
      </c>
      <c r="Z6" s="509">
        <v>1</v>
      </c>
      <c r="AA6" s="509">
        <v>0</v>
      </c>
      <c r="AB6" s="510">
        <v>0</v>
      </c>
      <c r="AC6" s="509">
        <v>0</v>
      </c>
      <c r="AD6" s="509">
        <v>0</v>
      </c>
      <c r="AE6" s="509">
        <v>0</v>
      </c>
      <c r="AF6" s="510">
        <v>0</v>
      </c>
      <c r="AG6" s="509">
        <v>1</v>
      </c>
      <c r="AH6" s="509">
        <v>1</v>
      </c>
      <c r="AI6" s="509">
        <v>0</v>
      </c>
      <c r="AJ6" s="510">
        <v>0</v>
      </c>
      <c r="AK6" s="509">
        <v>0</v>
      </c>
      <c r="AL6" s="509">
        <v>0</v>
      </c>
      <c r="AM6" s="509">
        <v>0</v>
      </c>
      <c r="AN6" s="510">
        <v>0</v>
      </c>
      <c r="AP6" s="388" t="s">
        <v>134</v>
      </c>
      <c r="AQ6" s="389">
        <f>Georgiaalltestshistlost</f>
        <v>89</v>
      </c>
      <c r="AS6" s="388" t="s">
        <v>134</v>
      </c>
      <c r="AT6" s="389">
        <f>GeorgiaRWChistlost</f>
        <v>15</v>
      </c>
    </row>
    <row r="7" spans="1:46" ht="14.95" customHeight="1" thickBot="1" x14ac:dyDescent="0.35">
      <c r="A7" s="528">
        <v>44640</v>
      </c>
      <c r="B7" s="529" t="s">
        <v>110</v>
      </c>
      <c r="C7" s="529" t="s">
        <v>124</v>
      </c>
      <c r="D7" s="529" t="s">
        <v>219</v>
      </c>
      <c r="E7" s="530" t="s">
        <v>1</v>
      </c>
      <c r="F7" s="530">
        <v>49</v>
      </c>
      <c r="G7" s="530">
        <v>15</v>
      </c>
      <c r="H7" s="530">
        <v>1</v>
      </c>
      <c r="I7" s="530">
        <v>0</v>
      </c>
      <c r="J7" s="530">
        <v>6</v>
      </c>
      <c r="K7" s="530">
        <v>5</v>
      </c>
      <c r="L7" s="530">
        <v>1</v>
      </c>
      <c r="M7" s="530">
        <v>2</v>
      </c>
      <c r="N7" s="530">
        <v>0</v>
      </c>
      <c r="O7" s="530">
        <v>0</v>
      </c>
      <c r="P7" s="530">
        <v>0</v>
      </c>
      <c r="Q7" s="530">
        <v>0</v>
      </c>
      <c r="R7" s="530">
        <v>2</v>
      </c>
      <c r="S7" s="531">
        <v>11000</v>
      </c>
      <c r="T7" s="543" t="s">
        <v>380</v>
      </c>
      <c r="U7" s="533" t="s">
        <v>269</v>
      </c>
      <c r="V7" s="531" t="s">
        <v>381</v>
      </c>
      <c r="W7" s="534" t="s">
        <v>353</v>
      </c>
      <c r="X7" s="535" t="s">
        <v>382</v>
      </c>
      <c r="Y7" s="536">
        <v>1</v>
      </c>
      <c r="Z7" s="536">
        <v>1</v>
      </c>
      <c r="AA7" s="536">
        <v>0</v>
      </c>
      <c r="AB7" s="537">
        <v>0</v>
      </c>
      <c r="AC7" s="536">
        <v>1</v>
      </c>
      <c r="AD7" s="536">
        <v>1</v>
      </c>
      <c r="AE7" s="536">
        <v>0</v>
      </c>
      <c r="AF7" s="537">
        <v>0</v>
      </c>
      <c r="AG7" s="536">
        <v>0</v>
      </c>
      <c r="AH7" s="536">
        <v>0</v>
      </c>
      <c r="AI7" s="536">
        <v>0</v>
      </c>
      <c r="AJ7" s="537">
        <v>0</v>
      </c>
      <c r="AK7" s="536">
        <v>0</v>
      </c>
      <c r="AL7" s="536">
        <v>0</v>
      </c>
      <c r="AM7" s="536">
        <v>0</v>
      </c>
      <c r="AN7" s="537">
        <v>0</v>
      </c>
      <c r="AP7" s="388" t="s">
        <v>140</v>
      </c>
      <c r="AQ7" s="389">
        <f>Georgiaalltestshistptsscored</f>
        <v>6032</v>
      </c>
      <c r="AS7" s="388" t="s">
        <v>140</v>
      </c>
      <c r="AT7" s="389">
        <f>GeorgiaRWChistptsscored</f>
        <v>262</v>
      </c>
    </row>
    <row r="8" spans="1:46" ht="14.95" customHeight="1" thickBot="1" x14ac:dyDescent="0.35">
      <c r="A8" s="528">
        <v>44752</v>
      </c>
      <c r="B8" s="529" t="s">
        <v>45</v>
      </c>
      <c r="C8" s="529" t="s">
        <v>33</v>
      </c>
      <c r="D8" s="529" t="s">
        <v>575</v>
      </c>
      <c r="E8" s="530" t="s">
        <v>1</v>
      </c>
      <c r="F8" s="530">
        <v>28</v>
      </c>
      <c r="G8" s="530">
        <v>19</v>
      </c>
      <c r="H8" s="530" t="s">
        <v>106</v>
      </c>
      <c r="I8" s="530" t="s">
        <v>106</v>
      </c>
      <c r="J8" s="530">
        <v>3</v>
      </c>
      <c r="K8" s="530">
        <v>2</v>
      </c>
      <c r="L8" s="530">
        <v>0</v>
      </c>
      <c r="M8" s="530">
        <v>3</v>
      </c>
      <c r="N8" s="530">
        <v>0</v>
      </c>
      <c r="O8" s="530">
        <v>0</v>
      </c>
      <c r="P8" s="530" t="s">
        <v>106</v>
      </c>
      <c r="Q8" s="530" t="s">
        <v>106</v>
      </c>
      <c r="R8" s="530">
        <v>1</v>
      </c>
      <c r="S8" s="531">
        <v>20000</v>
      </c>
      <c r="T8" s="543" t="s">
        <v>577</v>
      </c>
      <c r="U8" s="533" t="s">
        <v>511</v>
      </c>
      <c r="V8" s="531" t="s">
        <v>338</v>
      </c>
      <c r="W8" s="534" t="s">
        <v>246</v>
      </c>
      <c r="X8" s="535" t="s">
        <v>578</v>
      </c>
      <c r="Y8" s="536">
        <v>1</v>
      </c>
      <c r="Z8" s="536">
        <v>1</v>
      </c>
      <c r="AA8" s="536">
        <v>0</v>
      </c>
      <c r="AB8" s="537">
        <v>0</v>
      </c>
      <c r="AC8" s="536">
        <v>1</v>
      </c>
      <c r="AD8" s="536">
        <v>1</v>
      </c>
      <c r="AE8" s="536">
        <v>0</v>
      </c>
      <c r="AF8" s="537">
        <v>0</v>
      </c>
      <c r="AG8" s="536">
        <v>0</v>
      </c>
      <c r="AH8" s="536">
        <v>0</v>
      </c>
      <c r="AI8" s="536">
        <v>0</v>
      </c>
      <c r="AJ8" s="537">
        <v>0</v>
      </c>
      <c r="AK8" s="536">
        <v>0</v>
      </c>
      <c r="AL8" s="536">
        <v>0</v>
      </c>
      <c r="AM8" s="536">
        <v>0</v>
      </c>
      <c r="AN8" s="537">
        <v>0</v>
      </c>
      <c r="AP8" s="388" t="s">
        <v>141</v>
      </c>
      <c r="AQ8" s="389">
        <f>Georgiaalltestshistptsagainst</f>
        <v>4705</v>
      </c>
      <c r="AS8" s="388" t="s">
        <v>141</v>
      </c>
      <c r="AT8" s="389">
        <f>GeorgiaRWChistptsagainst</f>
        <v>646</v>
      </c>
    </row>
    <row r="9" spans="1:46" ht="14.95" customHeight="1" thickBot="1" x14ac:dyDescent="0.35">
      <c r="A9" s="528">
        <v>44758</v>
      </c>
      <c r="B9" s="529" t="s">
        <v>45</v>
      </c>
      <c r="C9" s="529" t="s">
        <v>125</v>
      </c>
      <c r="D9" s="529" t="s">
        <v>618</v>
      </c>
      <c r="E9" s="530" t="s">
        <v>1</v>
      </c>
      <c r="F9" s="530">
        <v>23</v>
      </c>
      <c r="G9" s="530">
        <v>14</v>
      </c>
      <c r="H9" s="530" t="s">
        <v>106</v>
      </c>
      <c r="I9" s="530" t="s">
        <v>106</v>
      </c>
      <c r="J9" s="530">
        <v>2</v>
      </c>
      <c r="K9" s="530">
        <v>2</v>
      </c>
      <c r="L9" s="530">
        <v>0</v>
      </c>
      <c r="M9" s="530">
        <v>3</v>
      </c>
      <c r="N9" s="530">
        <v>0</v>
      </c>
      <c r="O9" s="530">
        <v>0</v>
      </c>
      <c r="P9" s="530" t="s">
        <v>106</v>
      </c>
      <c r="Q9" s="530" t="s">
        <v>106</v>
      </c>
      <c r="R9" s="530">
        <v>1</v>
      </c>
      <c r="S9" s="531"/>
      <c r="T9" s="543" t="s">
        <v>620</v>
      </c>
      <c r="U9" s="533" t="s">
        <v>246</v>
      </c>
      <c r="V9" s="531" t="s">
        <v>497</v>
      </c>
      <c r="W9" s="534" t="s">
        <v>305</v>
      </c>
      <c r="X9" s="535" t="s">
        <v>621</v>
      </c>
      <c r="Y9" s="536">
        <v>1</v>
      </c>
      <c r="Z9" s="536">
        <v>1</v>
      </c>
      <c r="AA9" s="536">
        <v>0</v>
      </c>
      <c r="AB9" s="537">
        <v>0</v>
      </c>
      <c r="AC9" s="536">
        <v>1</v>
      </c>
      <c r="AD9" s="536">
        <v>1</v>
      </c>
      <c r="AE9" s="536">
        <v>0</v>
      </c>
      <c r="AF9" s="537">
        <v>0</v>
      </c>
      <c r="AG9" s="536">
        <v>0</v>
      </c>
      <c r="AH9" s="536">
        <v>0</v>
      </c>
      <c r="AI9" s="536">
        <v>0</v>
      </c>
      <c r="AJ9" s="537">
        <v>0</v>
      </c>
      <c r="AK9" s="536">
        <v>0</v>
      </c>
      <c r="AL9" s="536">
        <v>0</v>
      </c>
      <c r="AM9" s="536">
        <v>0</v>
      </c>
      <c r="AN9" s="537">
        <v>0</v>
      </c>
      <c r="AP9" s="388" t="s">
        <v>131</v>
      </c>
      <c r="AQ9" s="389">
        <f>Georgiaalltestshisttriesscored</f>
        <v>735</v>
      </c>
      <c r="AS9" s="388" t="s">
        <v>131</v>
      </c>
      <c r="AT9" s="389">
        <f>GeorgiaRWChisttriesscored</f>
        <v>23</v>
      </c>
    </row>
    <row r="10" spans="1:46" ht="14.95" customHeight="1" thickBot="1" x14ac:dyDescent="0.35">
      <c r="A10" s="528">
        <v>44870</v>
      </c>
      <c r="B10" s="529" t="s">
        <v>45</v>
      </c>
      <c r="C10" s="529" t="s">
        <v>105</v>
      </c>
      <c r="D10" s="529" t="s">
        <v>219</v>
      </c>
      <c r="E10" s="530" t="s">
        <v>1</v>
      </c>
      <c r="F10" s="530">
        <v>34</v>
      </c>
      <c r="G10" s="530">
        <v>18</v>
      </c>
      <c r="H10" s="530" t="s">
        <v>106</v>
      </c>
      <c r="I10" s="530" t="s">
        <v>106</v>
      </c>
      <c r="J10" s="530">
        <v>4</v>
      </c>
      <c r="K10" s="530">
        <v>4</v>
      </c>
      <c r="L10" s="530">
        <v>0</v>
      </c>
      <c r="M10" s="530">
        <v>2</v>
      </c>
      <c r="N10" s="530">
        <v>1</v>
      </c>
      <c r="O10" s="530">
        <v>0</v>
      </c>
      <c r="P10" s="530" t="s">
        <v>106</v>
      </c>
      <c r="Q10" s="530" t="s">
        <v>106</v>
      </c>
      <c r="R10" s="530">
        <v>2</v>
      </c>
      <c r="S10" s="531"/>
      <c r="T10" s="543" t="s">
        <v>781</v>
      </c>
      <c r="U10" s="533" t="s">
        <v>565</v>
      </c>
      <c r="V10" s="531" t="s">
        <v>449</v>
      </c>
      <c r="W10" s="534" t="s">
        <v>557</v>
      </c>
      <c r="X10" s="535" t="s">
        <v>782</v>
      </c>
      <c r="Y10" s="536">
        <v>1</v>
      </c>
      <c r="Z10" s="536">
        <v>1</v>
      </c>
      <c r="AA10" s="536">
        <v>0</v>
      </c>
      <c r="AB10" s="537">
        <v>0</v>
      </c>
      <c r="AC10" s="536">
        <v>1</v>
      </c>
      <c r="AD10" s="536">
        <v>1</v>
      </c>
      <c r="AE10" s="536">
        <v>0</v>
      </c>
      <c r="AF10" s="537">
        <v>0</v>
      </c>
      <c r="AG10" s="536">
        <v>0</v>
      </c>
      <c r="AH10" s="536">
        <v>0</v>
      </c>
      <c r="AI10" s="536">
        <v>0</v>
      </c>
      <c r="AJ10" s="537">
        <v>0</v>
      </c>
      <c r="AK10" s="536">
        <v>0</v>
      </c>
      <c r="AL10" s="536">
        <v>0</v>
      </c>
      <c r="AM10" s="536">
        <v>0</v>
      </c>
      <c r="AN10" s="537">
        <v>0</v>
      </c>
    </row>
    <row r="11" spans="1:46" ht="14.95" customHeight="1" thickBot="1" x14ac:dyDescent="0.3">
      <c r="A11" s="528">
        <v>44877</v>
      </c>
      <c r="B11" s="529" t="s">
        <v>45</v>
      </c>
      <c r="C11" s="529" t="s">
        <v>120</v>
      </c>
      <c r="D11" s="529" t="s">
        <v>219</v>
      </c>
      <c r="E11" s="530" t="s">
        <v>3</v>
      </c>
      <c r="F11" s="530">
        <v>19</v>
      </c>
      <c r="G11" s="530">
        <v>20</v>
      </c>
      <c r="H11" s="530" t="s">
        <v>106</v>
      </c>
      <c r="I11" s="530" t="s">
        <v>106</v>
      </c>
      <c r="J11" s="530">
        <v>2</v>
      </c>
      <c r="K11" s="530">
        <v>0</v>
      </c>
      <c r="L11" s="530">
        <v>0</v>
      </c>
      <c r="M11" s="530">
        <v>3</v>
      </c>
      <c r="N11" s="530">
        <v>1</v>
      </c>
      <c r="O11" s="530">
        <v>0</v>
      </c>
      <c r="P11" s="530" t="s">
        <v>106</v>
      </c>
      <c r="Q11" s="530" t="s">
        <v>106</v>
      </c>
      <c r="R11" s="530">
        <v>2</v>
      </c>
      <c r="S11" s="531"/>
      <c r="T11" s="532" t="s">
        <v>270</v>
      </c>
      <c r="U11" s="533" t="s">
        <v>285</v>
      </c>
      <c r="V11" s="531" t="s">
        <v>806</v>
      </c>
      <c r="W11" s="534" t="s">
        <v>278</v>
      </c>
      <c r="X11" s="535" t="s">
        <v>782</v>
      </c>
      <c r="Y11" s="536">
        <v>1</v>
      </c>
      <c r="Z11" s="536">
        <v>0</v>
      </c>
      <c r="AA11" s="536">
        <v>0</v>
      </c>
      <c r="AB11" s="537">
        <v>1</v>
      </c>
      <c r="AC11" s="536">
        <v>1</v>
      </c>
      <c r="AD11" s="536">
        <v>0</v>
      </c>
      <c r="AE11" s="536">
        <v>0</v>
      </c>
      <c r="AF11" s="537">
        <v>1</v>
      </c>
      <c r="AG11" s="536">
        <v>0</v>
      </c>
      <c r="AH11" s="536">
        <v>0</v>
      </c>
      <c r="AI11" s="536">
        <v>0</v>
      </c>
      <c r="AJ11" s="537">
        <v>0</v>
      </c>
      <c r="AK11" s="536">
        <v>0</v>
      </c>
      <c r="AL11" s="536">
        <v>0</v>
      </c>
      <c r="AM11" s="536">
        <v>0</v>
      </c>
      <c r="AN11" s="537">
        <v>0</v>
      </c>
    </row>
    <row r="12" spans="1:46" ht="14.95" customHeight="1" thickBot="1" x14ac:dyDescent="0.3">
      <c r="A12" s="501">
        <v>44884</v>
      </c>
      <c r="B12" s="503" t="s">
        <v>721</v>
      </c>
      <c r="C12" s="503" t="s">
        <v>32</v>
      </c>
      <c r="D12" s="503" t="s">
        <v>112</v>
      </c>
      <c r="E12" s="504" t="s">
        <v>1</v>
      </c>
      <c r="F12" s="504">
        <v>13</v>
      </c>
      <c r="G12" s="504">
        <v>12</v>
      </c>
      <c r="H12" s="504" t="s">
        <v>106</v>
      </c>
      <c r="I12" s="504" t="s">
        <v>106</v>
      </c>
      <c r="J12" s="504">
        <v>1</v>
      </c>
      <c r="K12" s="504">
        <v>1</v>
      </c>
      <c r="L12" s="504">
        <v>0</v>
      </c>
      <c r="M12" s="504">
        <v>2</v>
      </c>
      <c r="N12" s="504">
        <v>0</v>
      </c>
      <c r="O12" s="504">
        <v>0</v>
      </c>
      <c r="P12" s="504" t="s">
        <v>106</v>
      </c>
      <c r="Q12" s="504" t="s">
        <v>106</v>
      </c>
      <c r="R12" s="504">
        <v>2</v>
      </c>
      <c r="S12" s="506">
        <v>63585</v>
      </c>
      <c r="T12" s="520" t="s">
        <v>830</v>
      </c>
      <c r="U12" s="507" t="s">
        <v>289</v>
      </c>
      <c r="V12" s="506" t="s">
        <v>511</v>
      </c>
      <c r="W12" s="506" t="s">
        <v>314</v>
      </c>
      <c r="X12" s="514" t="s">
        <v>829</v>
      </c>
      <c r="Y12" s="509">
        <v>1</v>
      </c>
      <c r="Z12" s="509">
        <v>1</v>
      </c>
      <c r="AA12" s="509">
        <v>0</v>
      </c>
      <c r="AB12" s="510">
        <v>0</v>
      </c>
      <c r="AC12" s="509">
        <v>0</v>
      </c>
      <c r="AD12" s="509">
        <v>0</v>
      </c>
      <c r="AE12" s="509">
        <v>0</v>
      </c>
      <c r="AF12" s="510">
        <v>0</v>
      </c>
      <c r="AG12" s="509">
        <v>1</v>
      </c>
      <c r="AH12" s="509">
        <v>1</v>
      </c>
      <c r="AI12" s="509">
        <v>0</v>
      </c>
      <c r="AJ12" s="510">
        <v>0</v>
      </c>
      <c r="AK12" s="509">
        <v>0</v>
      </c>
      <c r="AL12" s="509">
        <v>0</v>
      </c>
      <c r="AM12" s="509">
        <v>0</v>
      </c>
      <c r="AN12" s="510">
        <v>0</v>
      </c>
    </row>
    <row r="13" spans="1:46" ht="14.95" customHeight="1" thickBot="1" x14ac:dyDescent="0.3">
      <c r="A13" s="310"/>
      <c r="B13" s="311"/>
      <c r="C13" s="806" t="s">
        <v>109</v>
      </c>
      <c r="D13" s="807"/>
      <c r="E13" s="808"/>
      <c r="F13" s="309">
        <f>SUM(F3:F7)</f>
        <v>172</v>
      </c>
      <c r="G13" s="309">
        <f t="shared" ref="G13:R13" si="0">SUM(G3:G7)</f>
        <v>73</v>
      </c>
      <c r="H13" s="309">
        <f t="shared" si="0"/>
        <v>3</v>
      </c>
      <c r="I13" s="309">
        <f t="shared" si="0"/>
        <v>0</v>
      </c>
      <c r="J13" s="309">
        <f t="shared" si="0"/>
        <v>25</v>
      </c>
      <c r="K13" s="309">
        <f t="shared" si="0"/>
        <v>16</v>
      </c>
      <c r="L13" s="309">
        <f t="shared" si="0"/>
        <v>1</v>
      </c>
      <c r="M13" s="309">
        <f t="shared" si="0"/>
        <v>4</v>
      </c>
      <c r="N13" s="309">
        <f t="shared" si="0"/>
        <v>3</v>
      </c>
      <c r="O13" s="309">
        <f t="shared" si="0"/>
        <v>0</v>
      </c>
      <c r="P13" s="309">
        <f t="shared" si="0"/>
        <v>0</v>
      </c>
      <c r="Q13" s="309">
        <f t="shared" si="0"/>
        <v>1</v>
      </c>
      <c r="R13" s="309">
        <f t="shared" si="0"/>
        <v>8</v>
      </c>
      <c r="W13" s="306"/>
      <c r="X13" s="452" t="s">
        <v>297</v>
      </c>
      <c r="Y13" s="639">
        <f t="shared" ref="Y13:AN13" si="1">SUM(Y3:Y7)</f>
        <v>4</v>
      </c>
      <c r="Z13" s="639">
        <f t="shared" si="1"/>
        <v>3</v>
      </c>
      <c r="AA13" s="639">
        <f t="shared" si="1"/>
        <v>1</v>
      </c>
      <c r="AB13" s="639">
        <f t="shared" si="1"/>
        <v>0</v>
      </c>
      <c r="AC13" s="640">
        <f t="shared" si="1"/>
        <v>2</v>
      </c>
      <c r="AD13" s="640">
        <f t="shared" si="1"/>
        <v>1</v>
      </c>
      <c r="AE13" s="640">
        <f t="shared" si="1"/>
        <v>1</v>
      </c>
      <c r="AF13" s="640">
        <f t="shared" si="1"/>
        <v>0</v>
      </c>
      <c r="AG13" s="641">
        <f t="shared" si="1"/>
        <v>2</v>
      </c>
      <c r="AH13" s="641">
        <f t="shared" si="1"/>
        <v>2</v>
      </c>
      <c r="AI13" s="641">
        <f t="shared" si="1"/>
        <v>0</v>
      </c>
      <c r="AJ13" s="641">
        <f t="shared" si="1"/>
        <v>0</v>
      </c>
      <c r="AK13" s="639">
        <f t="shared" si="1"/>
        <v>0</v>
      </c>
      <c r="AL13" s="639">
        <f t="shared" si="1"/>
        <v>0</v>
      </c>
      <c r="AM13" s="639">
        <f t="shared" si="1"/>
        <v>0</v>
      </c>
      <c r="AN13" s="639">
        <f t="shared" si="1"/>
        <v>0</v>
      </c>
    </row>
    <row r="14" spans="1:46" ht="14.95" customHeight="1" thickBot="1" x14ac:dyDescent="0.3">
      <c r="A14" s="310"/>
      <c r="B14" s="311"/>
      <c r="C14" s="771" t="s">
        <v>173</v>
      </c>
      <c r="D14" s="772"/>
      <c r="E14" s="773"/>
      <c r="F14" s="598">
        <f>SUM(F8:F12)</f>
        <v>117</v>
      </c>
      <c r="G14" s="598">
        <f>SUM(G8:G12)</f>
        <v>83</v>
      </c>
      <c r="H14" s="598" t="s">
        <v>106</v>
      </c>
      <c r="I14" s="598" t="s">
        <v>106</v>
      </c>
      <c r="J14" s="598">
        <f t="shared" ref="J14:O14" si="2">SUM(J8:J12)</f>
        <v>12</v>
      </c>
      <c r="K14" s="598">
        <f t="shared" si="2"/>
        <v>9</v>
      </c>
      <c r="L14" s="598">
        <f t="shared" si="2"/>
        <v>0</v>
      </c>
      <c r="M14" s="598">
        <f t="shared" si="2"/>
        <v>13</v>
      </c>
      <c r="N14" s="598">
        <f t="shared" si="2"/>
        <v>2</v>
      </c>
      <c r="O14" s="598">
        <f t="shared" si="2"/>
        <v>0</v>
      </c>
      <c r="P14" s="598" t="s">
        <v>106</v>
      </c>
      <c r="Q14" s="598" t="s">
        <v>106</v>
      </c>
      <c r="R14" s="598">
        <f>SUM(R8:R12)</f>
        <v>8</v>
      </c>
      <c r="S14" s="599"/>
      <c r="T14" s="599"/>
      <c r="U14" s="599"/>
      <c r="V14" s="599"/>
      <c r="W14" s="600"/>
      <c r="X14" s="601" t="s">
        <v>173</v>
      </c>
      <c r="Y14" s="642">
        <f t="shared" ref="Y14:AN14" si="3">SUM(Y8:Y12)</f>
        <v>5</v>
      </c>
      <c r="Z14" s="643">
        <f t="shared" si="3"/>
        <v>4</v>
      </c>
      <c r="AA14" s="643">
        <f t="shared" si="3"/>
        <v>0</v>
      </c>
      <c r="AB14" s="643">
        <f t="shared" si="3"/>
        <v>1</v>
      </c>
      <c r="AC14" s="644">
        <f t="shared" si="3"/>
        <v>4</v>
      </c>
      <c r="AD14" s="644">
        <f t="shared" si="3"/>
        <v>3</v>
      </c>
      <c r="AE14" s="644">
        <f t="shared" si="3"/>
        <v>0</v>
      </c>
      <c r="AF14" s="644">
        <f t="shared" si="3"/>
        <v>1</v>
      </c>
      <c r="AG14" s="645">
        <f t="shared" si="3"/>
        <v>1</v>
      </c>
      <c r="AH14" s="645">
        <f t="shared" si="3"/>
        <v>1</v>
      </c>
      <c r="AI14" s="645">
        <f t="shared" si="3"/>
        <v>0</v>
      </c>
      <c r="AJ14" s="645">
        <f t="shared" si="3"/>
        <v>0</v>
      </c>
      <c r="AK14" s="643">
        <f t="shared" si="3"/>
        <v>0</v>
      </c>
      <c r="AL14" s="643">
        <f t="shared" si="3"/>
        <v>0</v>
      </c>
      <c r="AM14" s="643">
        <f t="shared" si="3"/>
        <v>0</v>
      </c>
      <c r="AN14" s="643">
        <f t="shared" si="3"/>
        <v>0</v>
      </c>
    </row>
    <row r="15" spans="1:46" ht="14.95" customHeight="1" thickBot="1" x14ac:dyDescent="0.3">
      <c r="A15" s="310"/>
      <c r="B15" s="311"/>
      <c r="C15" s="760" t="s">
        <v>107</v>
      </c>
      <c r="D15" s="761"/>
      <c r="E15" s="762"/>
      <c r="F15" s="422">
        <f t="shared" ref="F15:R15" si="4">SUM(F3:F12)</f>
        <v>289</v>
      </c>
      <c r="G15" s="422">
        <f t="shared" si="4"/>
        <v>156</v>
      </c>
      <c r="H15" s="422">
        <f t="shared" si="4"/>
        <v>3</v>
      </c>
      <c r="I15" s="422">
        <f t="shared" si="4"/>
        <v>0</v>
      </c>
      <c r="J15" s="422">
        <f t="shared" si="4"/>
        <v>37</v>
      </c>
      <c r="K15" s="422">
        <f t="shared" si="4"/>
        <v>25</v>
      </c>
      <c r="L15" s="422">
        <f t="shared" si="4"/>
        <v>1</v>
      </c>
      <c r="M15" s="422">
        <f t="shared" si="4"/>
        <v>17</v>
      </c>
      <c r="N15" s="422">
        <f t="shared" si="4"/>
        <v>5</v>
      </c>
      <c r="O15" s="422">
        <f t="shared" si="4"/>
        <v>0</v>
      </c>
      <c r="P15" s="422">
        <f t="shared" si="4"/>
        <v>0</v>
      </c>
      <c r="Q15" s="422">
        <f t="shared" si="4"/>
        <v>1</v>
      </c>
      <c r="R15" s="422">
        <f t="shared" si="4"/>
        <v>16</v>
      </c>
      <c r="S15" s="419"/>
      <c r="T15" s="419"/>
      <c r="U15" s="419"/>
      <c r="V15" s="419"/>
      <c r="W15" s="13"/>
      <c r="X15" s="447" t="s">
        <v>107</v>
      </c>
      <c r="Y15" s="635">
        <f t="shared" ref="Y15:AN15" si="5">SUM(Y3:Y12)</f>
        <v>9</v>
      </c>
      <c r="Z15" s="635">
        <f t="shared" si="5"/>
        <v>7</v>
      </c>
      <c r="AA15" s="635">
        <f t="shared" si="5"/>
        <v>1</v>
      </c>
      <c r="AB15" s="635">
        <f t="shared" si="5"/>
        <v>1</v>
      </c>
      <c r="AC15" s="636">
        <f t="shared" si="5"/>
        <v>6</v>
      </c>
      <c r="AD15" s="636">
        <f t="shared" si="5"/>
        <v>4</v>
      </c>
      <c r="AE15" s="636">
        <f t="shared" si="5"/>
        <v>1</v>
      </c>
      <c r="AF15" s="636">
        <f t="shared" si="5"/>
        <v>1</v>
      </c>
      <c r="AG15" s="637">
        <f t="shared" si="5"/>
        <v>3</v>
      </c>
      <c r="AH15" s="637">
        <f t="shared" si="5"/>
        <v>3</v>
      </c>
      <c r="AI15" s="637">
        <f t="shared" si="5"/>
        <v>0</v>
      </c>
      <c r="AJ15" s="637">
        <f t="shared" si="5"/>
        <v>0</v>
      </c>
      <c r="AK15" s="635">
        <f t="shared" si="5"/>
        <v>0</v>
      </c>
      <c r="AL15" s="635">
        <f t="shared" si="5"/>
        <v>0</v>
      </c>
      <c r="AM15" s="635">
        <f t="shared" si="5"/>
        <v>0</v>
      </c>
      <c r="AN15" s="635">
        <f t="shared" si="5"/>
        <v>0</v>
      </c>
    </row>
    <row r="16" spans="1:46" ht="14.95" customHeight="1" x14ac:dyDescent="0.25">
      <c r="A16" s="310"/>
      <c r="B16" s="311"/>
    </row>
    <row r="17" spans="1:18" ht="14.95" customHeight="1" x14ac:dyDescent="0.25">
      <c r="A17" s="788" t="s">
        <v>379</v>
      </c>
      <c r="B17" s="743"/>
      <c r="C17" s="743"/>
      <c r="D17" s="743"/>
      <c r="E17" s="743"/>
      <c r="F17" s="743"/>
      <c r="G17" s="743"/>
      <c r="H17" s="743"/>
      <c r="I17" s="743"/>
      <c r="J17" s="743"/>
      <c r="K17" s="743"/>
      <c r="L17" s="743"/>
      <c r="M17" s="743"/>
      <c r="N17" s="743"/>
      <c r="O17" s="743"/>
      <c r="P17" s="743"/>
      <c r="Q17" s="743"/>
      <c r="R17" s="743"/>
    </row>
    <row r="18" spans="1:18" ht="14.95" customHeight="1" x14ac:dyDescent="0.25">
      <c r="A18" t="s">
        <v>221</v>
      </c>
      <c r="F18" s="14"/>
      <c r="G18" s="14"/>
      <c r="H18" s="13"/>
      <c r="I18" s="14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14.95" customHeight="1" x14ac:dyDescent="0.25">
      <c r="A19" t="s">
        <v>619</v>
      </c>
      <c r="F19" s="14"/>
      <c r="G19" s="14"/>
      <c r="H19" s="13"/>
      <c r="I19" s="14"/>
      <c r="J19" s="14"/>
      <c r="K19" s="14"/>
      <c r="L19" s="14"/>
      <c r="M19" s="14"/>
      <c r="N19" s="14"/>
      <c r="O19" s="14"/>
      <c r="P19" s="14"/>
      <c r="Q19" s="14"/>
      <c r="R19" s="14"/>
    </row>
    <row r="20" spans="1:18" ht="14.95" customHeight="1" x14ac:dyDescent="0.25">
      <c r="A20" t="s">
        <v>576</v>
      </c>
    </row>
    <row r="21" spans="1:18" ht="14.95" customHeight="1" x14ac:dyDescent="0.25">
      <c r="A21" t="s">
        <v>743</v>
      </c>
    </row>
    <row r="22" spans="1:18" ht="14.95" customHeight="1" x14ac:dyDescent="0.25">
      <c r="A22" t="s">
        <v>188</v>
      </c>
    </row>
    <row r="23" spans="1:18" ht="14.95" customHeight="1" x14ac:dyDescent="0.25">
      <c r="A23" t="s">
        <v>226</v>
      </c>
    </row>
    <row r="24" spans="1:18" ht="14.95" customHeight="1" x14ac:dyDescent="0.25">
      <c r="A24" s="155"/>
      <c r="B24" t="s">
        <v>44</v>
      </c>
    </row>
    <row r="25" spans="1:18" ht="14.95" customHeight="1" x14ac:dyDescent="0.25">
      <c r="A25" s="153"/>
      <c r="B25" t="s">
        <v>42</v>
      </c>
    </row>
    <row r="26" spans="1:18" ht="14.95" customHeight="1" x14ac:dyDescent="0.25">
      <c r="A26" s="154"/>
      <c r="B26" t="s">
        <v>43</v>
      </c>
    </row>
    <row r="27" spans="1:18" ht="14.95" customHeight="1" x14ac:dyDescent="0.25">
      <c r="A27" s="15" t="s">
        <v>28</v>
      </c>
    </row>
  </sheetData>
  <mergeCells count="14">
    <mergeCell ref="A17:R17"/>
    <mergeCell ref="Y1:AB1"/>
    <mergeCell ref="AC1:AF1"/>
    <mergeCell ref="AG1:AJ1"/>
    <mergeCell ref="AK1:AN1"/>
    <mergeCell ref="C15:E15"/>
    <mergeCell ref="N1:O1"/>
    <mergeCell ref="P1:R1"/>
    <mergeCell ref="A1:C1"/>
    <mergeCell ref="E1:G1"/>
    <mergeCell ref="H1:I1"/>
    <mergeCell ref="J1:M1"/>
    <mergeCell ref="C13:E13"/>
    <mergeCell ref="C14:E1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T24"/>
  <sheetViews>
    <sheetView workbookViewId="0">
      <pane ySplit="2" topLeftCell="A3" activePane="bottomLeft" state="frozen"/>
      <selection pane="bottomLeft" activeCell="X12" sqref="X12"/>
    </sheetView>
  </sheetViews>
  <sheetFormatPr defaultRowHeight="14.3" x14ac:dyDescent="0.25"/>
  <cols>
    <col min="1" max="1" width="7.5" customWidth="1"/>
    <col min="2" max="2" width="4.5" bestFit="1" customWidth="1"/>
    <col min="3" max="3" width="11.5" customWidth="1"/>
    <col min="4" max="4" width="4.125" customWidth="1"/>
    <col min="5" max="5" width="3.625" customWidth="1"/>
    <col min="6" max="7" width="4" bestFit="1" customWidth="1"/>
    <col min="8" max="13" width="3.625" customWidth="1"/>
    <col min="14" max="14" width="4.125" customWidth="1"/>
    <col min="15" max="18" width="3.625" customWidth="1"/>
    <col min="19" max="20" width="6.375" customWidth="1"/>
    <col min="21" max="21" width="30.5" customWidth="1"/>
    <col min="22" max="22" width="22.5" customWidth="1"/>
    <col min="23" max="23" width="21.625" customWidth="1"/>
    <col min="24" max="24" width="30.5" customWidth="1"/>
    <col min="25" max="40" width="3.625" customWidth="1"/>
    <col min="42" max="42" width="13.125" bestFit="1" customWidth="1"/>
    <col min="45" max="45" width="13.125" bestFit="1" customWidth="1"/>
  </cols>
  <sheetData>
    <row r="1" spans="1:46" ht="14.95" customHeight="1" thickBot="1" x14ac:dyDescent="0.3">
      <c r="A1" s="850" t="s">
        <v>204</v>
      </c>
      <c r="B1" s="851"/>
      <c r="C1" s="851"/>
      <c r="D1" s="152"/>
      <c r="E1" s="852" t="s">
        <v>24</v>
      </c>
      <c r="F1" s="853"/>
      <c r="G1" s="854"/>
      <c r="H1" s="852" t="s">
        <v>23</v>
      </c>
      <c r="I1" s="854"/>
      <c r="J1" s="855" t="s">
        <v>6</v>
      </c>
      <c r="K1" s="856"/>
      <c r="L1" s="856"/>
      <c r="M1" s="857"/>
      <c r="N1" s="855" t="s">
        <v>7</v>
      </c>
      <c r="O1" s="857"/>
      <c r="P1" s="855" t="s">
        <v>25</v>
      </c>
      <c r="Q1" s="856"/>
      <c r="R1" s="857"/>
      <c r="S1" s="428" t="s">
        <v>8</v>
      </c>
      <c r="T1" s="428" t="s">
        <v>9</v>
      </c>
      <c r="U1" s="55" t="s">
        <v>10</v>
      </c>
      <c r="V1" s="54" t="s">
        <v>11</v>
      </c>
      <c r="W1" s="56" t="s">
        <v>26</v>
      </c>
      <c r="X1" s="168" t="s">
        <v>27</v>
      </c>
      <c r="Y1" s="858" t="s">
        <v>20</v>
      </c>
      <c r="Z1" s="753"/>
      <c r="AA1" s="753"/>
      <c r="AB1" s="754"/>
      <c r="AC1" s="858" t="s">
        <v>61</v>
      </c>
      <c r="AD1" s="753"/>
      <c r="AE1" s="753"/>
      <c r="AF1" s="754"/>
      <c r="AG1" s="858" t="s">
        <v>62</v>
      </c>
      <c r="AH1" s="753"/>
      <c r="AI1" s="753"/>
      <c r="AJ1" s="754"/>
      <c r="AK1" s="858" t="s">
        <v>63</v>
      </c>
      <c r="AL1" s="753"/>
      <c r="AM1" s="753"/>
      <c r="AN1" s="754"/>
      <c r="AP1" s="403" t="s">
        <v>149</v>
      </c>
      <c r="AQ1" s="397"/>
      <c r="AR1" s="397"/>
      <c r="AS1" s="403" t="s">
        <v>149</v>
      </c>
    </row>
    <row r="2" spans="1:46" ht="14.95" customHeight="1" thickBot="1" x14ac:dyDescent="0.3">
      <c r="A2" s="57" t="s">
        <v>19</v>
      </c>
      <c r="B2" s="58" t="s">
        <v>18</v>
      </c>
      <c r="C2" s="59" t="s">
        <v>17</v>
      </c>
      <c r="D2" s="59" t="s">
        <v>41</v>
      </c>
      <c r="E2" s="60" t="s">
        <v>16</v>
      </c>
      <c r="F2" s="60" t="s">
        <v>4</v>
      </c>
      <c r="G2" s="60" t="s">
        <v>5</v>
      </c>
      <c r="H2" s="61" t="s">
        <v>12</v>
      </c>
      <c r="I2" s="61" t="s">
        <v>3</v>
      </c>
      <c r="J2" s="61" t="s">
        <v>12</v>
      </c>
      <c r="K2" s="61" t="s">
        <v>13</v>
      </c>
      <c r="L2" s="61" t="s">
        <v>2</v>
      </c>
      <c r="M2" s="61" t="s">
        <v>14</v>
      </c>
      <c r="N2" s="61" t="s">
        <v>15</v>
      </c>
      <c r="O2" s="61" t="s">
        <v>16</v>
      </c>
      <c r="P2" s="61" t="s">
        <v>21</v>
      </c>
      <c r="Q2" s="61" t="s">
        <v>22</v>
      </c>
      <c r="R2" s="61" t="s">
        <v>12</v>
      </c>
      <c r="S2" s="62"/>
      <c r="T2" s="63"/>
      <c r="U2" s="64"/>
      <c r="V2" s="62"/>
      <c r="W2" s="65"/>
      <c r="X2" s="66"/>
      <c r="Y2" s="338" t="s">
        <v>0</v>
      </c>
      <c r="Z2" s="338" t="s">
        <v>1</v>
      </c>
      <c r="AA2" s="338" t="s">
        <v>2</v>
      </c>
      <c r="AB2" s="338" t="s">
        <v>3</v>
      </c>
      <c r="AC2" s="338" t="s">
        <v>0</v>
      </c>
      <c r="AD2" s="338" t="s">
        <v>1</v>
      </c>
      <c r="AE2" s="338" t="s">
        <v>2</v>
      </c>
      <c r="AF2" s="338" t="s">
        <v>3</v>
      </c>
      <c r="AG2" s="338" t="s">
        <v>0</v>
      </c>
      <c r="AH2" s="338" t="s">
        <v>1</v>
      </c>
      <c r="AI2" s="338" t="s">
        <v>2</v>
      </c>
      <c r="AJ2" s="338" t="s">
        <v>3</v>
      </c>
      <c r="AK2" s="338" t="s">
        <v>0</v>
      </c>
      <c r="AL2" s="338" t="s">
        <v>1</v>
      </c>
      <c r="AM2" s="338" t="s">
        <v>2</v>
      </c>
      <c r="AN2" s="338" t="s">
        <v>3</v>
      </c>
      <c r="AP2" s="367" t="s">
        <v>107</v>
      </c>
      <c r="AQ2" s="204"/>
      <c r="AS2" s="368" t="s">
        <v>130</v>
      </c>
      <c r="AT2" s="204"/>
    </row>
    <row r="3" spans="1:46" ht="14.95" customHeight="1" thickBot="1" x14ac:dyDescent="0.35">
      <c r="A3" s="528">
        <v>44597</v>
      </c>
      <c r="B3" s="546" t="s">
        <v>46</v>
      </c>
      <c r="C3" s="529" t="s">
        <v>32</v>
      </c>
      <c r="D3" s="529" t="s">
        <v>115</v>
      </c>
      <c r="E3" s="530" t="s">
        <v>1</v>
      </c>
      <c r="F3" s="530">
        <v>29</v>
      </c>
      <c r="G3" s="530">
        <v>7</v>
      </c>
      <c r="H3" s="530">
        <v>1</v>
      </c>
      <c r="I3" s="530">
        <v>0</v>
      </c>
      <c r="J3" s="530">
        <v>4</v>
      </c>
      <c r="K3" s="530">
        <v>3</v>
      </c>
      <c r="L3" s="530">
        <v>0</v>
      </c>
      <c r="M3" s="530">
        <v>1</v>
      </c>
      <c r="N3" s="530">
        <v>0</v>
      </c>
      <c r="O3" s="530">
        <v>0</v>
      </c>
      <c r="P3" s="530">
        <v>0</v>
      </c>
      <c r="Q3" s="530">
        <v>0</v>
      </c>
      <c r="R3" s="530">
        <v>1</v>
      </c>
      <c r="S3" s="531">
        <v>51700</v>
      </c>
      <c r="T3" s="543" t="s">
        <v>257</v>
      </c>
      <c r="U3" s="533" t="s">
        <v>258</v>
      </c>
      <c r="V3" s="531" t="s">
        <v>259</v>
      </c>
      <c r="W3" s="534" t="s">
        <v>260</v>
      </c>
      <c r="X3" s="535" t="s">
        <v>261</v>
      </c>
      <c r="Y3" s="536">
        <v>1</v>
      </c>
      <c r="Z3" s="536">
        <v>1</v>
      </c>
      <c r="AA3" s="536">
        <v>0</v>
      </c>
      <c r="AB3" s="537">
        <v>0</v>
      </c>
      <c r="AC3" s="536">
        <v>1</v>
      </c>
      <c r="AD3" s="536">
        <v>1</v>
      </c>
      <c r="AE3" s="536">
        <v>0</v>
      </c>
      <c r="AF3" s="537">
        <v>0</v>
      </c>
      <c r="AG3" s="536">
        <v>0</v>
      </c>
      <c r="AH3" s="536">
        <v>0</v>
      </c>
      <c r="AI3" s="536">
        <v>0</v>
      </c>
      <c r="AJ3" s="537">
        <v>0</v>
      </c>
      <c r="AK3" s="536">
        <v>0</v>
      </c>
      <c r="AL3" s="536">
        <v>0</v>
      </c>
      <c r="AM3" s="536">
        <v>0</v>
      </c>
      <c r="AN3" s="537">
        <v>0</v>
      </c>
      <c r="AP3" s="386" t="s">
        <v>132</v>
      </c>
      <c r="AQ3" s="387">
        <f>Irelandalltestshistplayed</f>
        <v>734</v>
      </c>
      <c r="AS3" s="386" t="s">
        <v>132</v>
      </c>
      <c r="AT3" s="387">
        <f>IrelandRWChistplayed</f>
        <v>40</v>
      </c>
    </row>
    <row r="4" spans="1:46" ht="14.95" customHeight="1" thickBot="1" x14ac:dyDescent="0.3">
      <c r="A4" s="501">
        <v>44604</v>
      </c>
      <c r="B4" s="503" t="s">
        <v>46</v>
      </c>
      <c r="C4" s="503" t="s">
        <v>34</v>
      </c>
      <c r="D4" s="503" t="s">
        <v>113</v>
      </c>
      <c r="E4" s="504" t="s">
        <v>3</v>
      </c>
      <c r="F4" s="504">
        <v>24</v>
      </c>
      <c r="G4" s="504">
        <v>30</v>
      </c>
      <c r="H4" s="504">
        <v>0</v>
      </c>
      <c r="I4" s="504">
        <v>1</v>
      </c>
      <c r="J4" s="504">
        <v>3</v>
      </c>
      <c r="K4" s="504">
        <v>3</v>
      </c>
      <c r="L4" s="504">
        <v>0</v>
      </c>
      <c r="M4" s="504">
        <v>1</v>
      </c>
      <c r="N4" s="504">
        <v>0</v>
      </c>
      <c r="O4" s="504">
        <v>0</v>
      </c>
      <c r="P4" s="504">
        <v>0</v>
      </c>
      <c r="Q4" s="504">
        <v>0</v>
      </c>
      <c r="R4" s="504">
        <v>2</v>
      </c>
      <c r="S4" s="511">
        <v>80000</v>
      </c>
      <c r="T4" s="515" t="s">
        <v>310</v>
      </c>
      <c r="U4" s="513" t="s">
        <v>261</v>
      </c>
      <c r="V4" s="511" t="s">
        <v>267</v>
      </c>
      <c r="W4" s="506" t="s">
        <v>266</v>
      </c>
      <c r="X4" s="514" t="s">
        <v>269</v>
      </c>
      <c r="Y4" s="509">
        <v>1</v>
      </c>
      <c r="Z4" s="509">
        <v>0</v>
      </c>
      <c r="AA4" s="509">
        <v>0</v>
      </c>
      <c r="AB4" s="510">
        <v>1</v>
      </c>
      <c r="AC4" s="509">
        <v>0</v>
      </c>
      <c r="AD4" s="509">
        <v>0</v>
      </c>
      <c r="AE4" s="509">
        <v>0</v>
      </c>
      <c r="AF4" s="510">
        <v>0</v>
      </c>
      <c r="AG4" s="509">
        <v>1</v>
      </c>
      <c r="AH4" s="509">
        <v>0</v>
      </c>
      <c r="AI4" s="509">
        <v>0</v>
      </c>
      <c r="AJ4" s="510">
        <v>1</v>
      </c>
      <c r="AK4" s="509">
        <v>0</v>
      </c>
      <c r="AL4" s="509">
        <v>0</v>
      </c>
      <c r="AM4" s="509">
        <v>0</v>
      </c>
      <c r="AN4" s="510">
        <v>0</v>
      </c>
      <c r="AP4" s="388" t="s">
        <v>133</v>
      </c>
      <c r="AQ4" s="389">
        <f>Irelandalltestshistwon</f>
        <v>341</v>
      </c>
      <c r="AS4" s="388" t="s">
        <v>133</v>
      </c>
      <c r="AT4" s="389">
        <f>IrelandRWChistwon</f>
        <v>24</v>
      </c>
    </row>
    <row r="5" spans="1:46" ht="14.95" customHeight="1" thickBot="1" x14ac:dyDescent="0.35">
      <c r="A5" s="528">
        <v>44619</v>
      </c>
      <c r="B5" s="529" t="s">
        <v>46</v>
      </c>
      <c r="C5" s="529" t="s">
        <v>33</v>
      </c>
      <c r="D5" s="529" t="s">
        <v>115</v>
      </c>
      <c r="E5" s="530" t="s">
        <v>1</v>
      </c>
      <c r="F5" s="530">
        <v>57</v>
      </c>
      <c r="G5" s="530">
        <v>6</v>
      </c>
      <c r="H5" s="530">
        <v>1</v>
      </c>
      <c r="I5" s="530">
        <v>0</v>
      </c>
      <c r="J5" s="530">
        <v>9</v>
      </c>
      <c r="K5" s="530">
        <v>6</v>
      </c>
      <c r="L5" s="530">
        <v>0</v>
      </c>
      <c r="M5" s="530">
        <v>0</v>
      </c>
      <c r="N5" s="530">
        <v>0</v>
      </c>
      <c r="O5" s="530">
        <v>0</v>
      </c>
      <c r="P5" s="530">
        <v>0</v>
      </c>
      <c r="Q5" s="530">
        <v>0</v>
      </c>
      <c r="R5" s="530">
        <v>0</v>
      </c>
      <c r="S5" s="531">
        <v>51000</v>
      </c>
      <c r="T5" s="543" t="s">
        <v>337</v>
      </c>
      <c r="U5" s="533" t="s">
        <v>284</v>
      </c>
      <c r="V5" s="531" t="s">
        <v>338</v>
      </c>
      <c r="W5" s="534" t="s">
        <v>339</v>
      </c>
      <c r="X5" s="535" t="s">
        <v>340</v>
      </c>
      <c r="Y5" s="536">
        <v>1</v>
      </c>
      <c r="Z5" s="536">
        <v>1</v>
      </c>
      <c r="AA5" s="536">
        <v>0</v>
      </c>
      <c r="AB5" s="537">
        <v>0</v>
      </c>
      <c r="AC5" s="536">
        <v>1</v>
      </c>
      <c r="AD5" s="536">
        <v>1</v>
      </c>
      <c r="AE5" s="536">
        <v>0</v>
      </c>
      <c r="AF5" s="537">
        <v>0</v>
      </c>
      <c r="AG5" s="536">
        <v>0</v>
      </c>
      <c r="AH5" s="536">
        <v>0</v>
      </c>
      <c r="AI5" s="536">
        <v>0</v>
      </c>
      <c r="AJ5" s="537">
        <v>0</v>
      </c>
      <c r="AK5" s="536">
        <v>0</v>
      </c>
      <c r="AL5" s="536">
        <v>0</v>
      </c>
      <c r="AM5" s="536">
        <v>0</v>
      </c>
      <c r="AN5" s="537">
        <v>0</v>
      </c>
      <c r="AP5" s="388" t="s">
        <v>139</v>
      </c>
      <c r="AQ5" s="389">
        <f>Irelandalltestshistdrawn</f>
        <v>32</v>
      </c>
      <c r="AS5" s="388" t="s">
        <v>139</v>
      </c>
      <c r="AT5" s="389">
        <f>IrelandRWChistdrawn</f>
        <v>0</v>
      </c>
    </row>
    <row r="6" spans="1:46" ht="14.95" customHeight="1" thickBot="1" x14ac:dyDescent="0.35">
      <c r="A6" s="501">
        <v>44632</v>
      </c>
      <c r="B6" s="503" t="s">
        <v>46</v>
      </c>
      <c r="C6" s="503" t="s">
        <v>30</v>
      </c>
      <c r="D6" s="503" t="s">
        <v>116</v>
      </c>
      <c r="E6" s="504" t="s">
        <v>1</v>
      </c>
      <c r="F6" s="504">
        <v>32</v>
      </c>
      <c r="G6" s="504">
        <v>15</v>
      </c>
      <c r="H6" s="504">
        <v>1</v>
      </c>
      <c r="I6" s="504">
        <v>0</v>
      </c>
      <c r="J6" s="504">
        <v>4</v>
      </c>
      <c r="K6" s="504">
        <v>3</v>
      </c>
      <c r="L6" s="504">
        <v>0</v>
      </c>
      <c r="M6" s="504">
        <v>2</v>
      </c>
      <c r="N6" s="504">
        <v>0</v>
      </c>
      <c r="O6" s="504">
        <v>0</v>
      </c>
      <c r="P6" s="504">
        <v>0</v>
      </c>
      <c r="Q6" s="504">
        <v>0</v>
      </c>
      <c r="R6" s="504">
        <v>0</v>
      </c>
      <c r="S6" s="511">
        <v>81658</v>
      </c>
      <c r="T6" s="512" t="s">
        <v>369</v>
      </c>
      <c r="U6" s="513" t="s">
        <v>260</v>
      </c>
      <c r="V6" s="511" t="s">
        <v>368</v>
      </c>
      <c r="W6" s="506" t="s">
        <v>282</v>
      </c>
      <c r="X6" s="514" t="s">
        <v>314</v>
      </c>
      <c r="Y6" s="509">
        <v>1</v>
      </c>
      <c r="Z6" s="509">
        <v>1</v>
      </c>
      <c r="AA6" s="509">
        <v>0</v>
      </c>
      <c r="AB6" s="510">
        <v>0</v>
      </c>
      <c r="AC6" s="509">
        <v>0</v>
      </c>
      <c r="AD6" s="509">
        <v>0</v>
      </c>
      <c r="AE6" s="509">
        <v>0</v>
      </c>
      <c r="AF6" s="510">
        <v>0</v>
      </c>
      <c r="AG6" s="509">
        <v>1</v>
      </c>
      <c r="AH6" s="509">
        <v>1</v>
      </c>
      <c r="AI6" s="509">
        <v>0</v>
      </c>
      <c r="AJ6" s="509">
        <v>0</v>
      </c>
      <c r="AK6" s="509">
        <v>0</v>
      </c>
      <c r="AL6" s="509">
        <v>0</v>
      </c>
      <c r="AM6" s="509">
        <v>0</v>
      </c>
      <c r="AN6" s="509">
        <v>0</v>
      </c>
      <c r="AP6" s="388" t="s">
        <v>134</v>
      </c>
      <c r="AQ6" s="389">
        <f>Irelandalltestshistlost</f>
        <v>361</v>
      </c>
      <c r="AS6" s="388" t="s">
        <v>134</v>
      </c>
      <c r="AT6" s="389">
        <f>IrelandRWChistlost</f>
        <v>16</v>
      </c>
    </row>
    <row r="7" spans="1:46" ht="14.95" customHeight="1" thickBot="1" x14ac:dyDescent="0.35">
      <c r="A7" s="528">
        <v>44639</v>
      </c>
      <c r="B7" s="529" t="s">
        <v>46</v>
      </c>
      <c r="C7" s="529" t="s">
        <v>35</v>
      </c>
      <c r="D7" s="529" t="s">
        <v>115</v>
      </c>
      <c r="E7" s="530" t="s">
        <v>1</v>
      </c>
      <c r="F7" s="530">
        <v>26</v>
      </c>
      <c r="G7" s="530">
        <v>5</v>
      </c>
      <c r="H7" s="530">
        <v>1</v>
      </c>
      <c r="I7" s="530">
        <v>0</v>
      </c>
      <c r="J7" s="530">
        <v>4</v>
      </c>
      <c r="K7" s="530">
        <v>3</v>
      </c>
      <c r="L7" s="530">
        <v>0</v>
      </c>
      <c r="M7" s="530">
        <v>0</v>
      </c>
      <c r="N7" s="530">
        <v>0</v>
      </c>
      <c r="O7" s="530">
        <v>0</v>
      </c>
      <c r="P7" s="530">
        <v>0</v>
      </c>
      <c r="Q7" s="530">
        <v>0</v>
      </c>
      <c r="R7" s="530">
        <v>1</v>
      </c>
      <c r="S7" s="534">
        <v>51000</v>
      </c>
      <c r="T7" s="554" t="s">
        <v>388</v>
      </c>
      <c r="U7" s="534" t="s">
        <v>304</v>
      </c>
      <c r="V7" s="534" t="s">
        <v>259</v>
      </c>
      <c r="W7" s="534" t="s">
        <v>322</v>
      </c>
      <c r="X7" s="535" t="s">
        <v>340</v>
      </c>
      <c r="Y7" s="536">
        <v>1</v>
      </c>
      <c r="Z7" s="536">
        <v>1</v>
      </c>
      <c r="AA7" s="536">
        <v>0</v>
      </c>
      <c r="AB7" s="537">
        <v>0</v>
      </c>
      <c r="AC7" s="536">
        <v>1</v>
      </c>
      <c r="AD7" s="536">
        <v>1</v>
      </c>
      <c r="AE7" s="536">
        <v>0</v>
      </c>
      <c r="AF7" s="537">
        <v>0</v>
      </c>
      <c r="AG7" s="536">
        <v>0</v>
      </c>
      <c r="AH7" s="536">
        <v>0</v>
      </c>
      <c r="AI7" s="536">
        <v>0</v>
      </c>
      <c r="AJ7" s="536">
        <v>0</v>
      </c>
      <c r="AK7" s="536">
        <v>0</v>
      </c>
      <c r="AL7" s="536">
        <v>0</v>
      </c>
      <c r="AM7" s="536">
        <v>0</v>
      </c>
      <c r="AN7" s="536">
        <v>0</v>
      </c>
      <c r="AP7" s="388" t="s">
        <v>140</v>
      </c>
      <c r="AQ7" s="389">
        <f>Irelandalltestshistptsscored</f>
        <v>11647</v>
      </c>
      <c r="AS7" s="388" t="s">
        <v>140</v>
      </c>
      <c r="AT7" s="389">
        <f>IrelandRWChistptsscored</f>
        <v>1108</v>
      </c>
    </row>
    <row r="8" spans="1:46" ht="14.95" customHeight="1" thickBot="1" x14ac:dyDescent="0.3">
      <c r="A8" s="518">
        <v>44744</v>
      </c>
      <c r="B8" s="517" t="s">
        <v>45</v>
      </c>
      <c r="C8" s="517" t="s">
        <v>118</v>
      </c>
      <c r="D8" s="517" t="s">
        <v>129</v>
      </c>
      <c r="E8" s="504" t="s">
        <v>3</v>
      </c>
      <c r="F8" s="504">
        <v>19</v>
      </c>
      <c r="G8" s="504">
        <v>42</v>
      </c>
      <c r="H8" s="504" t="s">
        <v>106</v>
      </c>
      <c r="I8" s="504" t="s">
        <v>106</v>
      </c>
      <c r="J8" s="504">
        <v>3</v>
      </c>
      <c r="K8" s="504">
        <v>2</v>
      </c>
      <c r="L8" s="504">
        <v>0</v>
      </c>
      <c r="M8" s="504">
        <v>0</v>
      </c>
      <c r="N8" s="504">
        <v>0</v>
      </c>
      <c r="O8" s="504">
        <v>0</v>
      </c>
      <c r="P8" s="504" t="s">
        <v>106</v>
      </c>
      <c r="Q8" s="504" t="s">
        <v>106</v>
      </c>
      <c r="R8" s="504">
        <v>6</v>
      </c>
      <c r="S8" s="506">
        <v>48300</v>
      </c>
      <c r="T8" s="520" t="s">
        <v>506</v>
      </c>
      <c r="U8" s="506" t="s">
        <v>322</v>
      </c>
      <c r="V8" s="506" t="s">
        <v>505</v>
      </c>
      <c r="W8" s="506" t="s">
        <v>304</v>
      </c>
      <c r="X8" s="506" t="s">
        <v>448</v>
      </c>
      <c r="Y8" s="509">
        <v>1</v>
      </c>
      <c r="Z8" s="509">
        <v>0</v>
      </c>
      <c r="AA8" s="509">
        <v>0</v>
      </c>
      <c r="AB8" s="510">
        <v>1</v>
      </c>
      <c r="AC8" s="509">
        <v>0</v>
      </c>
      <c r="AD8" s="509">
        <v>0</v>
      </c>
      <c r="AE8" s="509">
        <v>0</v>
      </c>
      <c r="AF8" s="510">
        <v>0</v>
      </c>
      <c r="AG8" s="509">
        <v>1</v>
      </c>
      <c r="AH8" s="509">
        <v>0</v>
      </c>
      <c r="AI8" s="509">
        <v>0</v>
      </c>
      <c r="AJ8" s="509">
        <v>1</v>
      </c>
      <c r="AK8" s="509">
        <v>0</v>
      </c>
      <c r="AL8" s="509">
        <v>0</v>
      </c>
      <c r="AM8" s="509">
        <v>0</v>
      </c>
      <c r="AN8" s="509">
        <v>0</v>
      </c>
      <c r="AP8" s="388" t="s">
        <v>141</v>
      </c>
      <c r="AQ8" s="389">
        <f>Irelandalltestshistptsagainst</f>
        <v>10501</v>
      </c>
      <c r="AS8" s="388" t="s">
        <v>141</v>
      </c>
      <c r="AT8" s="389">
        <f>IrelandRWChistptsagainst</f>
        <v>735</v>
      </c>
    </row>
    <row r="9" spans="1:46" ht="14.95" customHeight="1" thickBot="1" x14ac:dyDescent="0.35">
      <c r="A9" s="622">
        <v>44751</v>
      </c>
      <c r="B9" s="623" t="s">
        <v>45</v>
      </c>
      <c r="C9" s="525" t="s">
        <v>118</v>
      </c>
      <c r="D9" s="517" t="s">
        <v>184</v>
      </c>
      <c r="E9" s="519" t="s">
        <v>1</v>
      </c>
      <c r="F9" s="504">
        <v>23</v>
      </c>
      <c r="G9" s="504">
        <v>12</v>
      </c>
      <c r="H9" s="504" t="s">
        <v>106</v>
      </c>
      <c r="I9" s="504" t="s">
        <v>106</v>
      </c>
      <c r="J9" s="504">
        <v>2</v>
      </c>
      <c r="K9" s="504">
        <v>2</v>
      </c>
      <c r="L9" s="504">
        <v>0</v>
      </c>
      <c r="M9" s="504">
        <v>3</v>
      </c>
      <c r="N9" s="504">
        <v>1</v>
      </c>
      <c r="O9" s="504">
        <v>0</v>
      </c>
      <c r="P9" s="504" t="s">
        <v>106</v>
      </c>
      <c r="Q9" s="504" t="s">
        <v>106</v>
      </c>
      <c r="R9" s="504">
        <v>2</v>
      </c>
      <c r="S9" s="506">
        <v>28191</v>
      </c>
      <c r="T9" s="570" t="s">
        <v>563</v>
      </c>
      <c r="U9" s="506" t="s">
        <v>258</v>
      </c>
      <c r="V9" s="506" t="s">
        <v>323</v>
      </c>
      <c r="W9" s="506" t="s">
        <v>322</v>
      </c>
      <c r="X9" s="506" t="s">
        <v>448</v>
      </c>
      <c r="Y9" s="509">
        <v>1</v>
      </c>
      <c r="Z9" s="509">
        <v>1</v>
      </c>
      <c r="AA9" s="509">
        <v>0</v>
      </c>
      <c r="AB9" s="510">
        <v>0</v>
      </c>
      <c r="AC9" s="509">
        <v>0</v>
      </c>
      <c r="AD9" s="509">
        <v>0</v>
      </c>
      <c r="AE9" s="509">
        <v>0</v>
      </c>
      <c r="AF9" s="510">
        <v>0</v>
      </c>
      <c r="AG9" s="509">
        <v>1</v>
      </c>
      <c r="AH9" s="509">
        <v>1</v>
      </c>
      <c r="AI9" s="509">
        <v>0</v>
      </c>
      <c r="AJ9" s="509">
        <v>0</v>
      </c>
      <c r="AK9" s="509">
        <v>0</v>
      </c>
      <c r="AL9" s="509">
        <v>0</v>
      </c>
      <c r="AM9" s="509">
        <v>0</v>
      </c>
      <c r="AN9" s="509">
        <v>0</v>
      </c>
      <c r="AP9" s="388" t="s">
        <v>131</v>
      </c>
      <c r="AQ9" s="389">
        <f>Irelandalltestshisttriesscored</f>
        <v>1443</v>
      </c>
      <c r="AS9" s="388" t="s">
        <v>131</v>
      </c>
      <c r="AT9" s="389">
        <f>IrelandRWChisttriesscored</f>
        <v>134</v>
      </c>
    </row>
    <row r="10" spans="1:46" ht="17" thickBot="1" x14ac:dyDescent="0.35">
      <c r="A10" s="518">
        <v>44758</v>
      </c>
      <c r="B10" s="517" t="s">
        <v>45</v>
      </c>
      <c r="C10" s="517" t="s">
        <v>118</v>
      </c>
      <c r="D10" s="517" t="s">
        <v>243</v>
      </c>
      <c r="E10" s="519" t="s">
        <v>1</v>
      </c>
      <c r="F10" s="504">
        <v>32</v>
      </c>
      <c r="G10" s="504">
        <v>22</v>
      </c>
      <c r="H10" s="504" t="s">
        <v>106</v>
      </c>
      <c r="I10" s="504" t="s">
        <v>106</v>
      </c>
      <c r="J10" s="504">
        <v>4</v>
      </c>
      <c r="K10" s="504">
        <v>3</v>
      </c>
      <c r="L10" s="504">
        <v>0</v>
      </c>
      <c r="M10" s="504">
        <v>2</v>
      </c>
      <c r="N10" s="504">
        <v>1</v>
      </c>
      <c r="O10" s="504">
        <v>0</v>
      </c>
      <c r="P10" s="504" t="s">
        <v>106</v>
      </c>
      <c r="Q10" s="504" t="s">
        <v>106</v>
      </c>
      <c r="R10" s="504">
        <v>3</v>
      </c>
      <c r="S10" s="506">
        <v>34500</v>
      </c>
      <c r="T10" s="570" t="s">
        <v>607</v>
      </c>
      <c r="U10" s="506" t="s">
        <v>304</v>
      </c>
      <c r="V10" s="506" t="s">
        <v>323</v>
      </c>
      <c r="W10" s="506" t="s">
        <v>322</v>
      </c>
      <c r="X10" s="506" t="s">
        <v>340</v>
      </c>
      <c r="Y10" s="509">
        <v>1</v>
      </c>
      <c r="Z10" s="509">
        <v>1</v>
      </c>
      <c r="AA10" s="509">
        <v>0</v>
      </c>
      <c r="AB10" s="510">
        <v>0</v>
      </c>
      <c r="AC10" s="509">
        <v>0</v>
      </c>
      <c r="AD10" s="509">
        <v>0</v>
      </c>
      <c r="AE10" s="509">
        <v>0</v>
      </c>
      <c r="AF10" s="510">
        <v>0</v>
      </c>
      <c r="AG10" s="509">
        <v>1</v>
      </c>
      <c r="AH10" s="509">
        <v>1</v>
      </c>
      <c r="AI10" s="509">
        <v>0</v>
      </c>
      <c r="AJ10" s="509">
        <v>0</v>
      </c>
      <c r="AK10" s="509">
        <v>0</v>
      </c>
      <c r="AL10" s="509">
        <v>0</v>
      </c>
      <c r="AM10" s="509">
        <v>0</v>
      </c>
      <c r="AN10" s="509">
        <v>0</v>
      </c>
    </row>
    <row r="11" spans="1:46" ht="15.8" customHeight="1" thickBot="1" x14ac:dyDescent="0.3">
      <c r="A11" s="550">
        <v>44870</v>
      </c>
      <c r="B11" s="551" t="s">
        <v>721</v>
      </c>
      <c r="C11" s="552" t="s">
        <v>177</v>
      </c>
      <c r="D11" s="553" t="s">
        <v>115</v>
      </c>
      <c r="E11" s="530" t="s">
        <v>1</v>
      </c>
      <c r="F11" s="530">
        <v>19</v>
      </c>
      <c r="G11" s="530">
        <v>16</v>
      </c>
      <c r="H11" s="530" t="s">
        <v>106</v>
      </c>
      <c r="I11" s="530" t="s">
        <v>106</v>
      </c>
      <c r="J11" s="530">
        <v>2</v>
      </c>
      <c r="K11" s="530">
        <v>0</v>
      </c>
      <c r="L11" s="530">
        <v>0</v>
      </c>
      <c r="M11" s="530">
        <v>3</v>
      </c>
      <c r="N11" s="530">
        <v>0</v>
      </c>
      <c r="O11" s="530">
        <v>0</v>
      </c>
      <c r="P11" s="530" t="s">
        <v>106</v>
      </c>
      <c r="Q11" s="530" t="s">
        <v>106</v>
      </c>
      <c r="R11" s="530">
        <v>2</v>
      </c>
      <c r="S11" s="439">
        <v>51000</v>
      </c>
      <c r="T11" s="633" t="s">
        <v>509</v>
      </c>
      <c r="U11" s="439" t="s">
        <v>284</v>
      </c>
      <c r="V11" s="439" t="s">
        <v>259</v>
      </c>
      <c r="W11" s="439" t="s">
        <v>260</v>
      </c>
      <c r="X11" s="439" t="s">
        <v>289</v>
      </c>
      <c r="Y11" s="536">
        <v>1</v>
      </c>
      <c r="Z11" s="536">
        <v>1</v>
      </c>
      <c r="AA11" s="536">
        <v>0</v>
      </c>
      <c r="AB11" s="537">
        <v>0</v>
      </c>
      <c r="AC11" s="536">
        <v>1</v>
      </c>
      <c r="AD11" s="536">
        <v>1</v>
      </c>
      <c r="AE11" s="536">
        <v>0</v>
      </c>
      <c r="AF11" s="537">
        <v>0</v>
      </c>
      <c r="AG11" s="536">
        <v>0</v>
      </c>
      <c r="AH11" s="536">
        <v>0</v>
      </c>
      <c r="AI11" s="536">
        <v>0</v>
      </c>
      <c r="AJ11" s="536">
        <v>0</v>
      </c>
      <c r="AK11" s="536">
        <v>0</v>
      </c>
      <c r="AL11" s="536">
        <v>0</v>
      </c>
      <c r="AM11" s="536">
        <v>0</v>
      </c>
      <c r="AN11" s="536">
        <v>0</v>
      </c>
    </row>
    <row r="12" spans="1:46" ht="17" thickBot="1" x14ac:dyDescent="0.35">
      <c r="A12" s="550">
        <v>44877</v>
      </c>
      <c r="B12" s="551" t="s">
        <v>721</v>
      </c>
      <c r="C12" s="552" t="s">
        <v>31</v>
      </c>
      <c r="D12" s="553" t="s">
        <v>115</v>
      </c>
      <c r="E12" s="530" t="s">
        <v>1</v>
      </c>
      <c r="F12" s="530">
        <v>35</v>
      </c>
      <c r="G12" s="530">
        <v>17</v>
      </c>
      <c r="H12" s="530" t="s">
        <v>106</v>
      </c>
      <c r="I12" s="530" t="s">
        <v>106</v>
      </c>
      <c r="J12" s="530">
        <v>5</v>
      </c>
      <c r="K12" s="530">
        <v>5</v>
      </c>
      <c r="L12" s="530">
        <v>0</v>
      </c>
      <c r="M12" s="530">
        <v>0</v>
      </c>
      <c r="N12" s="530">
        <v>0</v>
      </c>
      <c r="O12" s="530">
        <v>0</v>
      </c>
      <c r="P12" s="530" t="s">
        <v>106</v>
      </c>
      <c r="Q12" s="530" t="s">
        <v>106</v>
      </c>
      <c r="R12" s="530">
        <v>2</v>
      </c>
      <c r="S12" s="439">
        <v>51000</v>
      </c>
      <c r="T12" s="564" t="s">
        <v>812</v>
      </c>
      <c r="U12" s="439" t="s">
        <v>260</v>
      </c>
      <c r="V12" s="439" t="s">
        <v>449</v>
      </c>
      <c r="W12" s="439" t="s">
        <v>385</v>
      </c>
      <c r="X12" s="439" t="s">
        <v>448</v>
      </c>
      <c r="Y12" s="536">
        <v>1</v>
      </c>
      <c r="Z12" s="536">
        <v>1</v>
      </c>
      <c r="AA12" s="536">
        <v>0</v>
      </c>
      <c r="AB12" s="537">
        <v>0</v>
      </c>
      <c r="AC12" s="536">
        <v>1</v>
      </c>
      <c r="AD12" s="536">
        <v>1</v>
      </c>
      <c r="AE12" s="536">
        <v>0</v>
      </c>
      <c r="AF12" s="537">
        <v>0</v>
      </c>
      <c r="AG12" s="536">
        <v>0</v>
      </c>
      <c r="AH12" s="536">
        <v>0</v>
      </c>
      <c r="AI12" s="536">
        <v>0</v>
      </c>
      <c r="AJ12" s="536">
        <v>0</v>
      </c>
      <c r="AK12" s="536">
        <v>0</v>
      </c>
      <c r="AL12" s="536">
        <v>0</v>
      </c>
      <c r="AM12" s="536">
        <v>0</v>
      </c>
      <c r="AN12" s="536">
        <v>0</v>
      </c>
    </row>
    <row r="13" spans="1:46" ht="15.8" customHeight="1" thickBot="1" x14ac:dyDescent="0.35">
      <c r="A13" s="550">
        <v>44884</v>
      </c>
      <c r="B13" s="551" t="s">
        <v>746</v>
      </c>
      <c r="C13" s="552" t="s">
        <v>29</v>
      </c>
      <c r="D13" s="553" t="s">
        <v>115</v>
      </c>
      <c r="E13" s="530" t="s">
        <v>1</v>
      </c>
      <c r="F13" s="530">
        <v>13</v>
      </c>
      <c r="G13" s="530">
        <v>10</v>
      </c>
      <c r="H13" s="530" t="s">
        <v>106</v>
      </c>
      <c r="I13" s="530" t="s">
        <v>106</v>
      </c>
      <c r="J13" s="530">
        <v>1</v>
      </c>
      <c r="K13" s="530">
        <v>1</v>
      </c>
      <c r="L13" s="530">
        <v>0</v>
      </c>
      <c r="M13" s="530">
        <v>2</v>
      </c>
      <c r="N13" s="530">
        <v>0</v>
      </c>
      <c r="O13" s="530">
        <v>0</v>
      </c>
      <c r="P13" s="530" t="s">
        <v>106</v>
      </c>
      <c r="Q13" s="530" t="s">
        <v>106</v>
      </c>
      <c r="R13" s="530">
        <v>1</v>
      </c>
      <c r="S13" s="439">
        <v>51000</v>
      </c>
      <c r="T13" s="564" t="s">
        <v>831</v>
      </c>
      <c r="U13" s="439" t="s">
        <v>266</v>
      </c>
      <c r="V13" s="439" t="s">
        <v>259</v>
      </c>
      <c r="W13" s="439" t="s">
        <v>510</v>
      </c>
      <c r="X13" s="439" t="s">
        <v>385</v>
      </c>
      <c r="Y13" s="536">
        <v>1</v>
      </c>
      <c r="Z13" s="536">
        <v>1</v>
      </c>
      <c r="AA13" s="536">
        <v>0</v>
      </c>
      <c r="AB13" s="537">
        <v>0</v>
      </c>
      <c r="AC13" s="536">
        <v>1</v>
      </c>
      <c r="AD13" s="536">
        <v>1</v>
      </c>
      <c r="AE13" s="536">
        <v>0</v>
      </c>
      <c r="AF13" s="537">
        <v>0</v>
      </c>
      <c r="AG13" s="536">
        <v>0</v>
      </c>
      <c r="AH13" s="536">
        <v>0</v>
      </c>
      <c r="AI13" s="536">
        <v>0</v>
      </c>
      <c r="AJ13" s="536">
        <v>0</v>
      </c>
      <c r="AK13" s="536">
        <v>0</v>
      </c>
      <c r="AL13" s="536">
        <v>0</v>
      </c>
      <c r="AM13" s="536">
        <v>0</v>
      </c>
      <c r="AN13" s="536">
        <v>0</v>
      </c>
    </row>
    <row r="14" spans="1:46" ht="15.8" customHeight="1" thickBot="1" x14ac:dyDescent="0.3">
      <c r="A14" s="310"/>
      <c r="B14" s="311"/>
      <c r="C14" s="806" t="s">
        <v>108</v>
      </c>
      <c r="D14" s="807"/>
      <c r="E14" s="808"/>
      <c r="F14" s="309">
        <f>SUM(F3:F7)</f>
        <v>168</v>
      </c>
      <c r="G14" s="309">
        <f t="shared" ref="G14:R14" si="0">SUM(G3:G7)</f>
        <v>63</v>
      </c>
      <c r="H14" s="309">
        <f t="shared" si="0"/>
        <v>4</v>
      </c>
      <c r="I14" s="309">
        <f t="shared" si="0"/>
        <v>1</v>
      </c>
      <c r="J14" s="309">
        <f t="shared" si="0"/>
        <v>24</v>
      </c>
      <c r="K14" s="309">
        <f t="shared" si="0"/>
        <v>18</v>
      </c>
      <c r="L14" s="309">
        <f t="shared" si="0"/>
        <v>0</v>
      </c>
      <c r="M14" s="309">
        <f t="shared" si="0"/>
        <v>4</v>
      </c>
      <c r="N14" s="309">
        <f t="shared" si="0"/>
        <v>0</v>
      </c>
      <c r="O14" s="309">
        <f t="shared" si="0"/>
        <v>0</v>
      </c>
      <c r="P14" s="309">
        <f t="shared" si="0"/>
        <v>0</v>
      </c>
      <c r="Q14" s="309">
        <f t="shared" si="0"/>
        <v>0</v>
      </c>
      <c r="R14" s="309">
        <f t="shared" si="0"/>
        <v>4</v>
      </c>
      <c r="W14" s="306"/>
      <c r="X14" s="453" t="s">
        <v>108</v>
      </c>
      <c r="Y14" s="309">
        <f t="shared" ref="Y14:AN14" si="1">SUM(Y3:Y7)</f>
        <v>5</v>
      </c>
      <c r="Z14" s="309">
        <f t="shared" si="1"/>
        <v>4</v>
      </c>
      <c r="AA14" s="309">
        <f t="shared" si="1"/>
        <v>0</v>
      </c>
      <c r="AB14" s="309">
        <f t="shared" si="1"/>
        <v>1</v>
      </c>
      <c r="AC14" s="307">
        <f t="shared" si="1"/>
        <v>3</v>
      </c>
      <c r="AD14" s="307">
        <f t="shared" si="1"/>
        <v>3</v>
      </c>
      <c r="AE14" s="307">
        <f t="shared" si="1"/>
        <v>0</v>
      </c>
      <c r="AF14" s="307">
        <f t="shared" si="1"/>
        <v>0</v>
      </c>
      <c r="AG14" s="308">
        <f t="shared" si="1"/>
        <v>2</v>
      </c>
      <c r="AH14" s="308">
        <f t="shared" si="1"/>
        <v>1</v>
      </c>
      <c r="AI14" s="308">
        <f t="shared" si="1"/>
        <v>0</v>
      </c>
      <c r="AJ14" s="308">
        <f t="shared" si="1"/>
        <v>1</v>
      </c>
      <c r="AK14" s="309">
        <f t="shared" si="1"/>
        <v>0</v>
      </c>
      <c r="AL14" s="309">
        <f t="shared" si="1"/>
        <v>0</v>
      </c>
      <c r="AM14" s="309">
        <f t="shared" si="1"/>
        <v>0</v>
      </c>
      <c r="AN14" s="309">
        <f t="shared" si="1"/>
        <v>0</v>
      </c>
    </row>
    <row r="15" spans="1:46" ht="14.95" thickBot="1" x14ac:dyDescent="0.3">
      <c r="A15" s="607"/>
      <c r="B15" s="608"/>
      <c r="C15" s="771" t="s">
        <v>173</v>
      </c>
      <c r="D15" s="772"/>
      <c r="E15" s="773"/>
      <c r="F15" s="602">
        <f>SUM(F8:F13)</f>
        <v>141</v>
      </c>
      <c r="G15" s="602">
        <f>SUM(G8:G13)</f>
        <v>119</v>
      </c>
      <c r="H15" s="602" t="s">
        <v>106</v>
      </c>
      <c r="I15" s="602" t="s">
        <v>106</v>
      </c>
      <c r="J15" s="602">
        <f t="shared" ref="J15:O15" si="2">SUM(J8:J13)</f>
        <v>17</v>
      </c>
      <c r="K15" s="602">
        <f t="shared" si="2"/>
        <v>13</v>
      </c>
      <c r="L15" s="602">
        <f t="shared" si="2"/>
        <v>0</v>
      </c>
      <c r="M15" s="602">
        <f t="shared" si="2"/>
        <v>10</v>
      </c>
      <c r="N15" s="602">
        <f t="shared" si="2"/>
        <v>2</v>
      </c>
      <c r="O15" s="602">
        <f t="shared" si="2"/>
        <v>0</v>
      </c>
      <c r="P15" s="602" t="s">
        <v>106</v>
      </c>
      <c r="Q15" s="602" t="s">
        <v>106</v>
      </c>
      <c r="R15" s="602">
        <f>SUM(R8:R13)</f>
        <v>16</v>
      </c>
      <c r="S15" s="599"/>
      <c r="T15" s="599"/>
      <c r="U15" s="599"/>
      <c r="V15" s="599"/>
      <c r="W15" s="600"/>
      <c r="X15" s="601" t="s">
        <v>173</v>
      </c>
      <c r="Y15" s="602">
        <f t="shared" ref="Y15:AN15" si="3">SUM(Y8:Y13)</f>
        <v>6</v>
      </c>
      <c r="Z15" s="602">
        <f t="shared" si="3"/>
        <v>5</v>
      </c>
      <c r="AA15" s="602">
        <f t="shared" si="3"/>
        <v>0</v>
      </c>
      <c r="AB15" s="602">
        <f t="shared" si="3"/>
        <v>1</v>
      </c>
      <c r="AC15" s="603">
        <f t="shared" si="3"/>
        <v>3</v>
      </c>
      <c r="AD15" s="603">
        <f t="shared" si="3"/>
        <v>3</v>
      </c>
      <c r="AE15" s="603">
        <f t="shared" si="3"/>
        <v>0</v>
      </c>
      <c r="AF15" s="603">
        <f t="shared" si="3"/>
        <v>0</v>
      </c>
      <c r="AG15" s="604">
        <f t="shared" si="3"/>
        <v>3</v>
      </c>
      <c r="AH15" s="604">
        <f t="shared" si="3"/>
        <v>2</v>
      </c>
      <c r="AI15" s="604">
        <f t="shared" si="3"/>
        <v>0</v>
      </c>
      <c r="AJ15" s="604">
        <f t="shared" si="3"/>
        <v>1</v>
      </c>
      <c r="AK15" s="602">
        <f t="shared" si="3"/>
        <v>0</v>
      </c>
      <c r="AL15" s="602">
        <f t="shared" si="3"/>
        <v>0</v>
      </c>
      <c r="AM15" s="602">
        <f t="shared" si="3"/>
        <v>0</v>
      </c>
      <c r="AN15" s="602">
        <f t="shared" si="3"/>
        <v>0</v>
      </c>
    </row>
    <row r="16" spans="1:46" ht="14.95" thickBot="1" x14ac:dyDescent="0.3">
      <c r="A16" s="310"/>
      <c r="B16" s="311"/>
      <c r="C16" s="760" t="s">
        <v>107</v>
      </c>
      <c r="D16" s="761"/>
      <c r="E16" s="762"/>
      <c r="F16" s="422">
        <f>SUM(F3:F13)</f>
        <v>309</v>
      </c>
      <c r="G16" s="422">
        <f t="shared" ref="G16:R16" si="4">SUM(G3:G13)</f>
        <v>182</v>
      </c>
      <c r="H16" s="422">
        <f t="shared" si="4"/>
        <v>4</v>
      </c>
      <c r="I16" s="422">
        <f t="shared" si="4"/>
        <v>1</v>
      </c>
      <c r="J16" s="422">
        <f t="shared" si="4"/>
        <v>41</v>
      </c>
      <c r="K16" s="422">
        <f t="shared" si="4"/>
        <v>31</v>
      </c>
      <c r="L16" s="422">
        <f t="shared" si="4"/>
        <v>0</v>
      </c>
      <c r="M16" s="422">
        <f t="shared" si="4"/>
        <v>14</v>
      </c>
      <c r="N16" s="422">
        <f t="shared" si="4"/>
        <v>2</v>
      </c>
      <c r="O16" s="422">
        <f t="shared" si="4"/>
        <v>0</v>
      </c>
      <c r="P16" s="422">
        <f t="shared" si="4"/>
        <v>0</v>
      </c>
      <c r="Q16" s="422">
        <f t="shared" si="4"/>
        <v>0</v>
      </c>
      <c r="R16" s="422">
        <f t="shared" si="4"/>
        <v>20</v>
      </c>
      <c r="S16" s="419"/>
      <c r="T16" s="419"/>
      <c r="U16" s="419"/>
      <c r="V16" s="419"/>
      <c r="W16" s="13"/>
      <c r="X16" s="447" t="s">
        <v>107</v>
      </c>
      <c r="Y16" s="422">
        <f t="shared" ref="Y16:AN16" si="5">SUM(Y3:Y13)</f>
        <v>11</v>
      </c>
      <c r="Z16" s="422">
        <f t="shared" si="5"/>
        <v>9</v>
      </c>
      <c r="AA16" s="422">
        <f t="shared" si="5"/>
        <v>0</v>
      </c>
      <c r="AB16" s="422">
        <f t="shared" si="5"/>
        <v>2</v>
      </c>
      <c r="AC16" s="420">
        <f t="shared" si="5"/>
        <v>6</v>
      </c>
      <c r="AD16" s="420">
        <f t="shared" si="5"/>
        <v>6</v>
      </c>
      <c r="AE16" s="420">
        <f t="shared" si="5"/>
        <v>0</v>
      </c>
      <c r="AF16" s="420">
        <f t="shared" si="5"/>
        <v>0</v>
      </c>
      <c r="AG16" s="421">
        <f t="shared" si="5"/>
        <v>5</v>
      </c>
      <c r="AH16" s="421">
        <f t="shared" si="5"/>
        <v>3</v>
      </c>
      <c r="AI16" s="421">
        <f t="shared" si="5"/>
        <v>0</v>
      </c>
      <c r="AJ16" s="421">
        <f t="shared" si="5"/>
        <v>2</v>
      </c>
      <c r="AK16" s="422">
        <f t="shared" si="5"/>
        <v>0</v>
      </c>
      <c r="AL16" s="422">
        <f t="shared" si="5"/>
        <v>0</v>
      </c>
      <c r="AM16" s="422">
        <f t="shared" si="5"/>
        <v>0</v>
      </c>
      <c r="AN16" s="422">
        <f t="shared" si="5"/>
        <v>0</v>
      </c>
    </row>
    <row r="17" spans="1:18" x14ac:dyDescent="0.25">
      <c r="A17" s="788" t="s">
        <v>747</v>
      </c>
      <c r="B17" s="743"/>
      <c r="C17" s="743"/>
      <c r="D17" s="743"/>
      <c r="E17" s="743"/>
      <c r="F17" s="743"/>
      <c r="G17" s="743"/>
      <c r="H17" s="743"/>
      <c r="I17" s="743"/>
      <c r="J17" s="743"/>
      <c r="K17" s="743"/>
      <c r="L17" s="743"/>
      <c r="M17" s="743"/>
      <c r="N17" s="743"/>
      <c r="O17" s="743"/>
      <c r="P17" s="743"/>
      <c r="Q17" s="743"/>
      <c r="R17" s="743"/>
    </row>
    <row r="18" spans="1:18" x14ac:dyDescent="0.25">
      <c r="A18" t="s">
        <v>231</v>
      </c>
      <c r="F18" s="14"/>
      <c r="G18" s="14"/>
      <c r="H18" s="13"/>
      <c r="I18" s="14"/>
      <c r="J18" s="14"/>
      <c r="K18" s="14"/>
      <c r="L18" s="14"/>
      <c r="M18" s="14"/>
      <c r="N18" s="14"/>
      <c r="O18" s="14"/>
      <c r="P18" s="14"/>
      <c r="Q18" s="14"/>
      <c r="R18" s="14"/>
    </row>
    <row r="19" spans="1:18" x14ac:dyDescent="0.25">
      <c r="A19" t="s">
        <v>238</v>
      </c>
      <c r="F19" s="14"/>
      <c r="G19" s="14"/>
      <c r="H19" s="13"/>
      <c r="I19" s="14"/>
      <c r="J19" s="14"/>
      <c r="K19" s="14"/>
      <c r="L19" s="14"/>
      <c r="M19" s="14"/>
      <c r="N19" s="14"/>
      <c r="O19" s="14"/>
      <c r="P19" s="14"/>
      <c r="Q19" s="14"/>
      <c r="R19" s="14"/>
    </row>
    <row r="20" spans="1:18" x14ac:dyDescent="0.25">
      <c r="A20" t="s">
        <v>608</v>
      </c>
    </row>
    <row r="21" spans="1:18" x14ac:dyDescent="0.25">
      <c r="A21" s="155"/>
      <c r="B21" t="s">
        <v>44</v>
      </c>
    </row>
    <row r="22" spans="1:18" x14ac:dyDescent="0.25">
      <c r="A22" s="153"/>
      <c r="B22" t="s">
        <v>42</v>
      </c>
    </row>
    <row r="23" spans="1:18" x14ac:dyDescent="0.25">
      <c r="A23" s="154"/>
      <c r="B23" t="s">
        <v>43</v>
      </c>
    </row>
    <row r="24" spans="1:18" x14ac:dyDescent="0.25">
      <c r="A24" s="15" t="s">
        <v>28</v>
      </c>
    </row>
  </sheetData>
  <mergeCells count="14">
    <mergeCell ref="Y1:AB1"/>
    <mergeCell ref="AC1:AF1"/>
    <mergeCell ref="AG1:AJ1"/>
    <mergeCell ref="AK1:AN1"/>
    <mergeCell ref="P1:R1"/>
    <mergeCell ref="C14:E14"/>
    <mergeCell ref="C16:E16"/>
    <mergeCell ref="A17:R17"/>
    <mergeCell ref="A1:C1"/>
    <mergeCell ref="E1:G1"/>
    <mergeCell ref="H1:I1"/>
    <mergeCell ref="J1:M1"/>
    <mergeCell ref="N1:O1"/>
    <mergeCell ref="C15:E15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T27"/>
  <sheetViews>
    <sheetView zoomScaleNormal="100" workbookViewId="0">
      <pane ySplit="2" topLeftCell="A3" activePane="bottomLeft" state="frozen"/>
      <selection pane="bottomLeft" activeCell="U15" sqref="U15"/>
    </sheetView>
  </sheetViews>
  <sheetFormatPr defaultRowHeight="14.3" x14ac:dyDescent="0.25"/>
  <cols>
    <col min="1" max="1" width="7.5" customWidth="1"/>
    <col min="2" max="2" width="4.5" bestFit="1" customWidth="1"/>
    <col min="3" max="3" width="11.5" customWidth="1"/>
    <col min="4" max="4" width="4.375" customWidth="1"/>
    <col min="5" max="5" width="3.625" customWidth="1"/>
    <col min="6" max="7" width="4" bestFit="1" customWidth="1"/>
    <col min="8" max="18" width="3.625" customWidth="1"/>
    <col min="19" max="20" width="6.375" customWidth="1"/>
    <col min="21" max="21" width="21.625" bestFit="1" customWidth="1"/>
    <col min="22" max="22" width="24.125" bestFit="1" customWidth="1"/>
    <col min="23" max="23" width="22.125" bestFit="1" customWidth="1"/>
    <col min="24" max="24" width="30.5" customWidth="1"/>
    <col min="25" max="40" width="3.625" customWidth="1"/>
    <col min="42" max="42" width="13.125" bestFit="1" customWidth="1"/>
    <col min="45" max="45" width="13.125" bestFit="1" customWidth="1"/>
  </cols>
  <sheetData>
    <row r="1" spans="1:46" ht="14.95" customHeight="1" thickBot="1" x14ac:dyDescent="0.3">
      <c r="A1" s="865" t="s">
        <v>205</v>
      </c>
      <c r="B1" s="866"/>
      <c r="C1" s="866"/>
      <c r="D1" s="475"/>
      <c r="E1" s="867" t="s">
        <v>24</v>
      </c>
      <c r="F1" s="868"/>
      <c r="G1" s="869"/>
      <c r="H1" s="867" t="s">
        <v>23</v>
      </c>
      <c r="I1" s="869"/>
      <c r="J1" s="862" t="s">
        <v>6</v>
      </c>
      <c r="K1" s="863"/>
      <c r="L1" s="863"/>
      <c r="M1" s="864"/>
      <c r="N1" s="862" t="s">
        <v>7</v>
      </c>
      <c r="O1" s="864"/>
      <c r="P1" s="862" t="s">
        <v>25</v>
      </c>
      <c r="Q1" s="863"/>
      <c r="R1" s="864"/>
      <c r="S1" s="476" t="s">
        <v>8</v>
      </c>
      <c r="T1" s="476" t="s">
        <v>9</v>
      </c>
      <c r="U1" s="477" t="s">
        <v>10</v>
      </c>
      <c r="V1" s="478" t="s">
        <v>11</v>
      </c>
      <c r="W1" s="479" t="s">
        <v>26</v>
      </c>
      <c r="X1" s="480" t="s">
        <v>27</v>
      </c>
      <c r="Y1" s="859" t="s">
        <v>20</v>
      </c>
      <c r="Z1" s="860"/>
      <c r="AA1" s="860"/>
      <c r="AB1" s="861"/>
      <c r="AC1" s="859" t="s">
        <v>61</v>
      </c>
      <c r="AD1" s="860"/>
      <c r="AE1" s="860"/>
      <c r="AF1" s="861"/>
      <c r="AG1" s="859" t="s">
        <v>62</v>
      </c>
      <c r="AH1" s="860"/>
      <c r="AI1" s="860"/>
      <c r="AJ1" s="861"/>
      <c r="AK1" s="859" t="s">
        <v>63</v>
      </c>
      <c r="AL1" s="860"/>
      <c r="AM1" s="860"/>
      <c r="AN1" s="861"/>
      <c r="AP1" s="492" t="s">
        <v>150</v>
      </c>
      <c r="AQ1" s="397"/>
      <c r="AR1" s="397"/>
      <c r="AS1" s="492" t="s">
        <v>150</v>
      </c>
    </row>
    <row r="2" spans="1:46" ht="14.95" customHeight="1" thickBot="1" x14ac:dyDescent="0.3">
      <c r="A2" s="481" t="s">
        <v>19</v>
      </c>
      <c r="B2" s="482" t="s">
        <v>18</v>
      </c>
      <c r="C2" s="483" t="s">
        <v>17</v>
      </c>
      <c r="D2" s="483" t="s">
        <v>41</v>
      </c>
      <c r="E2" s="484" t="s">
        <v>16</v>
      </c>
      <c r="F2" s="484" t="s">
        <v>4</v>
      </c>
      <c r="G2" s="484" t="s">
        <v>5</v>
      </c>
      <c r="H2" s="485" t="s">
        <v>12</v>
      </c>
      <c r="I2" s="485" t="s">
        <v>3</v>
      </c>
      <c r="J2" s="485" t="s">
        <v>12</v>
      </c>
      <c r="K2" s="485" t="s">
        <v>13</v>
      </c>
      <c r="L2" s="485" t="s">
        <v>2</v>
      </c>
      <c r="M2" s="485" t="s">
        <v>14</v>
      </c>
      <c r="N2" s="485" t="s">
        <v>15</v>
      </c>
      <c r="O2" s="485" t="s">
        <v>16</v>
      </c>
      <c r="P2" s="485" t="s">
        <v>21</v>
      </c>
      <c r="Q2" s="485" t="s">
        <v>22</v>
      </c>
      <c r="R2" s="485" t="s">
        <v>12</v>
      </c>
      <c r="S2" s="486"/>
      <c r="T2" s="487"/>
      <c r="U2" s="488"/>
      <c r="V2" s="486"/>
      <c r="W2" s="489"/>
      <c r="X2" s="490"/>
      <c r="Y2" s="491" t="s">
        <v>0</v>
      </c>
      <c r="Z2" s="491" t="s">
        <v>1</v>
      </c>
      <c r="AA2" s="491" t="s">
        <v>2</v>
      </c>
      <c r="AB2" s="491" t="s">
        <v>3</v>
      </c>
      <c r="AC2" s="491" t="s">
        <v>0</v>
      </c>
      <c r="AD2" s="491" t="s">
        <v>1</v>
      </c>
      <c r="AE2" s="491" t="s">
        <v>2</v>
      </c>
      <c r="AF2" s="491" t="s">
        <v>3</v>
      </c>
      <c r="AG2" s="491" t="s">
        <v>0</v>
      </c>
      <c r="AH2" s="491" t="s">
        <v>1</v>
      </c>
      <c r="AI2" s="491" t="s">
        <v>2</v>
      </c>
      <c r="AJ2" s="491" t="s">
        <v>3</v>
      </c>
      <c r="AK2" s="491" t="s">
        <v>0</v>
      </c>
      <c r="AL2" s="491" t="s">
        <v>1</v>
      </c>
      <c r="AM2" s="491" t="s">
        <v>2</v>
      </c>
      <c r="AN2" s="491" t="s">
        <v>3</v>
      </c>
      <c r="AP2" s="367" t="s">
        <v>107</v>
      </c>
      <c r="AQ2" s="204" t="s">
        <v>58</v>
      </c>
      <c r="AS2" s="368" t="s">
        <v>130</v>
      </c>
      <c r="AT2" s="204" t="s">
        <v>58</v>
      </c>
    </row>
    <row r="3" spans="1:46" ht="14.95" customHeight="1" thickBot="1" x14ac:dyDescent="0.3">
      <c r="A3" s="501">
        <v>44598</v>
      </c>
      <c r="B3" s="517" t="s">
        <v>46</v>
      </c>
      <c r="C3" s="503" t="s">
        <v>34</v>
      </c>
      <c r="D3" s="503" t="s">
        <v>113</v>
      </c>
      <c r="E3" s="504" t="s">
        <v>3</v>
      </c>
      <c r="F3" s="504">
        <v>10</v>
      </c>
      <c r="G3" s="504">
        <v>37</v>
      </c>
      <c r="H3" s="504">
        <v>0</v>
      </c>
      <c r="I3" s="504">
        <v>0</v>
      </c>
      <c r="J3" s="504">
        <v>1</v>
      </c>
      <c r="K3" s="504">
        <v>1</v>
      </c>
      <c r="L3" s="504">
        <v>0</v>
      </c>
      <c r="M3" s="504">
        <v>1</v>
      </c>
      <c r="N3" s="504">
        <v>0</v>
      </c>
      <c r="O3" s="504">
        <v>0</v>
      </c>
      <c r="P3" s="504">
        <v>1</v>
      </c>
      <c r="Q3" s="504">
        <v>0</v>
      </c>
      <c r="R3" s="504">
        <v>5</v>
      </c>
      <c r="S3" s="511">
        <v>78750</v>
      </c>
      <c r="T3" s="515" t="s">
        <v>286</v>
      </c>
      <c r="U3" s="513" t="s">
        <v>282</v>
      </c>
      <c r="V3" s="511" t="s">
        <v>283</v>
      </c>
      <c r="W3" s="506" t="s">
        <v>284</v>
      </c>
      <c r="X3" s="514" t="s">
        <v>285</v>
      </c>
      <c r="Y3" s="509">
        <v>1</v>
      </c>
      <c r="Z3" s="509">
        <v>0</v>
      </c>
      <c r="AA3" s="509">
        <v>0</v>
      </c>
      <c r="AB3" s="510">
        <v>1</v>
      </c>
      <c r="AC3" s="509">
        <v>0</v>
      </c>
      <c r="AD3" s="509">
        <v>0</v>
      </c>
      <c r="AE3" s="509">
        <v>0</v>
      </c>
      <c r="AF3" s="510">
        <v>0</v>
      </c>
      <c r="AG3" s="509">
        <v>1</v>
      </c>
      <c r="AH3" s="509">
        <v>0</v>
      </c>
      <c r="AI3" s="509">
        <v>0</v>
      </c>
      <c r="AJ3" s="510">
        <v>1</v>
      </c>
      <c r="AK3" s="509">
        <v>0</v>
      </c>
      <c r="AL3" s="509">
        <v>0</v>
      </c>
      <c r="AM3" s="509">
        <v>0</v>
      </c>
      <c r="AN3" s="510">
        <v>0</v>
      </c>
      <c r="AP3" s="386" t="s">
        <v>132</v>
      </c>
      <c r="AQ3" s="387">
        <f>Italyalltestshistplayed</f>
        <v>533</v>
      </c>
      <c r="AS3" s="386" t="s">
        <v>132</v>
      </c>
      <c r="AT3" s="387">
        <f>ItalyRWChistplayed</f>
        <v>31</v>
      </c>
    </row>
    <row r="4" spans="1:46" ht="14.95" customHeight="1" thickBot="1" x14ac:dyDescent="0.3">
      <c r="A4" s="528">
        <v>44605</v>
      </c>
      <c r="B4" s="529" t="s">
        <v>46</v>
      </c>
      <c r="C4" s="529" t="s">
        <v>30</v>
      </c>
      <c r="D4" s="529" t="s">
        <v>114</v>
      </c>
      <c r="E4" s="530" t="s">
        <v>3</v>
      </c>
      <c r="F4" s="530">
        <v>0</v>
      </c>
      <c r="G4" s="530">
        <v>33</v>
      </c>
      <c r="H4" s="530">
        <v>0</v>
      </c>
      <c r="I4" s="530">
        <v>0</v>
      </c>
      <c r="J4" s="530">
        <v>0</v>
      </c>
      <c r="K4" s="530">
        <v>0</v>
      </c>
      <c r="L4" s="530">
        <v>0</v>
      </c>
      <c r="M4" s="530">
        <v>0</v>
      </c>
      <c r="N4" s="530">
        <v>0</v>
      </c>
      <c r="O4" s="530">
        <v>0</v>
      </c>
      <c r="P4" s="530">
        <v>1</v>
      </c>
      <c r="Q4" s="530">
        <v>0</v>
      </c>
      <c r="R4" s="530">
        <v>5</v>
      </c>
      <c r="S4" s="531">
        <v>29015</v>
      </c>
      <c r="T4" s="532" t="s">
        <v>311</v>
      </c>
      <c r="U4" s="533" t="s">
        <v>285</v>
      </c>
      <c r="V4" s="531" t="s">
        <v>312</v>
      </c>
      <c r="W4" s="534" t="s">
        <v>313</v>
      </c>
      <c r="X4" s="535" t="s">
        <v>314</v>
      </c>
      <c r="Y4" s="536">
        <v>1</v>
      </c>
      <c r="Z4" s="536">
        <v>0</v>
      </c>
      <c r="AA4" s="536">
        <v>0</v>
      </c>
      <c r="AB4" s="537">
        <v>1</v>
      </c>
      <c r="AC4" s="536">
        <v>1</v>
      </c>
      <c r="AD4" s="536">
        <v>0</v>
      </c>
      <c r="AE4" s="536">
        <v>0</v>
      </c>
      <c r="AF4" s="537">
        <v>1</v>
      </c>
      <c r="AG4" s="536">
        <v>0</v>
      </c>
      <c r="AH4" s="536">
        <v>0</v>
      </c>
      <c r="AI4" s="536">
        <v>0</v>
      </c>
      <c r="AJ4" s="537">
        <v>0</v>
      </c>
      <c r="AK4" s="536">
        <v>0</v>
      </c>
      <c r="AL4" s="536">
        <v>0</v>
      </c>
      <c r="AM4" s="536">
        <v>0</v>
      </c>
      <c r="AN4" s="537">
        <v>0</v>
      </c>
      <c r="AP4" s="388" t="s">
        <v>133</v>
      </c>
      <c r="AQ4" s="389">
        <f>Italyalltestshistwon</f>
        <v>193</v>
      </c>
      <c r="AS4" s="388" t="s">
        <v>133</v>
      </c>
      <c r="AT4" s="389">
        <f>ItalyRWChistwon</f>
        <v>13</v>
      </c>
    </row>
    <row r="5" spans="1:46" ht="14.95" customHeight="1" thickBot="1" x14ac:dyDescent="0.3">
      <c r="A5" s="501">
        <v>44619</v>
      </c>
      <c r="B5" s="503" t="s">
        <v>46</v>
      </c>
      <c r="C5" s="503" t="s">
        <v>39</v>
      </c>
      <c r="D5" s="503" t="s">
        <v>115</v>
      </c>
      <c r="E5" s="504" t="s">
        <v>3</v>
      </c>
      <c r="F5" s="504">
        <v>6</v>
      </c>
      <c r="G5" s="504">
        <v>57</v>
      </c>
      <c r="H5" s="504">
        <v>0</v>
      </c>
      <c r="I5" s="504">
        <v>0</v>
      </c>
      <c r="J5" s="504">
        <v>0</v>
      </c>
      <c r="K5" s="504">
        <v>0</v>
      </c>
      <c r="L5" s="504">
        <v>0</v>
      </c>
      <c r="M5" s="504">
        <v>2</v>
      </c>
      <c r="N5" s="504">
        <v>1</v>
      </c>
      <c r="O5" s="504">
        <v>1</v>
      </c>
      <c r="P5" s="504">
        <v>1</v>
      </c>
      <c r="Q5" s="504">
        <v>0</v>
      </c>
      <c r="R5" s="504">
        <v>9</v>
      </c>
      <c r="S5" s="511">
        <v>51000</v>
      </c>
      <c r="T5" s="515" t="s">
        <v>341</v>
      </c>
      <c r="U5" s="513" t="s">
        <v>284</v>
      </c>
      <c r="V5" s="511" t="s">
        <v>338</v>
      </c>
      <c r="W5" s="506" t="s">
        <v>339</v>
      </c>
      <c r="X5" s="514" t="s">
        <v>340</v>
      </c>
      <c r="Y5" s="509">
        <v>1</v>
      </c>
      <c r="Z5" s="509">
        <v>0</v>
      </c>
      <c r="AA5" s="509">
        <v>0</v>
      </c>
      <c r="AB5" s="510">
        <v>1</v>
      </c>
      <c r="AC5" s="509">
        <v>0</v>
      </c>
      <c r="AD5" s="509">
        <v>0</v>
      </c>
      <c r="AE5" s="509">
        <v>0</v>
      </c>
      <c r="AF5" s="510">
        <v>0</v>
      </c>
      <c r="AG5" s="509">
        <v>1</v>
      </c>
      <c r="AH5" s="509">
        <v>0</v>
      </c>
      <c r="AI5" s="509">
        <v>0</v>
      </c>
      <c r="AJ5" s="510">
        <v>1</v>
      </c>
      <c r="AK5" s="509">
        <v>0</v>
      </c>
      <c r="AL5" s="509">
        <v>0</v>
      </c>
      <c r="AM5" s="509">
        <v>0</v>
      </c>
      <c r="AN5" s="510">
        <v>0</v>
      </c>
      <c r="AP5" s="388" t="s">
        <v>139</v>
      </c>
      <c r="AQ5" s="389">
        <f>Italyalltestshistdrawn</f>
        <v>14</v>
      </c>
      <c r="AS5" s="388" t="s">
        <v>139</v>
      </c>
      <c r="AT5" s="389">
        <f>ItalyRWChistdrawn</f>
        <v>0</v>
      </c>
    </row>
    <row r="6" spans="1:46" ht="14.95" customHeight="1" thickBot="1" x14ac:dyDescent="0.3">
      <c r="A6" s="528">
        <v>44632</v>
      </c>
      <c r="B6" s="529" t="s">
        <v>46</v>
      </c>
      <c r="C6" s="529" t="s">
        <v>35</v>
      </c>
      <c r="D6" s="529" t="s">
        <v>114</v>
      </c>
      <c r="E6" s="530" t="s">
        <v>3</v>
      </c>
      <c r="F6" s="530">
        <v>22</v>
      </c>
      <c r="G6" s="530">
        <v>33</v>
      </c>
      <c r="H6" s="530">
        <v>0</v>
      </c>
      <c r="I6" s="530">
        <v>0</v>
      </c>
      <c r="J6" s="530">
        <v>3</v>
      </c>
      <c r="K6" s="530">
        <v>2</v>
      </c>
      <c r="L6" s="530">
        <v>0</v>
      </c>
      <c r="M6" s="530">
        <v>1</v>
      </c>
      <c r="N6" s="530">
        <v>0</v>
      </c>
      <c r="O6" s="530">
        <v>0</v>
      </c>
      <c r="P6" s="530">
        <v>1</v>
      </c>
      <c r="Q6" s="530">
        <v>0</v>
      </c>
      <c r="R6" s="530">
        <v>5</v>
      </c>
      <c r="S6" s="531">
        <v>41214</v>
      </c>
      <c r="T6" s="532" t="s">
        <v>321</v>
      </c>
      <c r="U6" s="533" t="s">
        <v>324</v>
      </c>
      <c r="V6" s="531" t="s">
        <v>259</v>
      </c>
      <c r="W6" s="534" t="s">
        <v>313</v>
      </c>
      <c r="X6" s="535" t="s">
        <v>269</v>
      </c>
      <c r="Y6" s="536">
        <v>1</v>
      </c>
      <c r="Z6" s="536">
        <v>0</v>
      </c>
      <c r="AA6" s="536">
        <v>0</v>
      </c>
      <c r="AB6" s="537">
        <v>1</v>
      </c>
      <c r="AC6" s="536">
        <v>1</v>
      </c>
      <c r="AD6" s="536">
        <v>0</v>
      </c>
      <c r="AE6" s="536">
        <v>0</v>
      </c>
      <c r="AF6" s="537">
        <v>1</v>
      </c>
      <c r="AG6" s="536">
        <v>0</v>
      </c>
      <c r="AH6" s="536">
        <v>0</v>
      </c>
      <c r="AI6" s="536">
        <v>0</v>
      </c>
      <c r="AJ6" s="537">
        <v>0</v>
      </c>
      <c r="AK6" s="536">
        <v>0</v>
      </c>
      <c r="AL6" s="536">
        <v>0</v>
      </c>
      <c r="AM6" s="536">
        <v>0</v>
      </c>
      <c r="AN6" s="537">
        <v>0</v>
      </c>
      <c r="AP6" s="388" t="s">
        <v>134</v>
      </c>
      <c r="AQ6" s="389">
        <f>Italyalltestshistlost</f>
        <v>326</v>
      </c>
      <c r="AS6" s="388" t="s">
        <v>134</v>
      </c>
      <c r="AT6" s="389">
        <f>ItalyRWChistlost</f>
        <v>18</v>
      </c>
    </row>
    <row r="7" spans="1:46" ht="14.95" customHeight="1" thickBot="1" x14ac:dyDescent="0.35">
      <c r="A7" s="501">
        <v>44639</v>
      </c>
      <c r="B7" s="503" t="s">
        <v>46</v>
      </c>
      <c r="C7" s="503" t="s">
        <v>32</v>
      </c>
      <c r="D7" s="503" t="s">
        <v>112</v>
      </c>
      <c r="E7" s="504" t="s">
        <v>1</v>
      </c>
      <c r="F7" s="504">
        <v>22</v>
      </c>
      <c r="G7" s="504">
        <v>21</v>
      </c>
      <c r="H7" s="504">
        <v>0</v>
      </c>
      <c r="I7" s="504">
        <v>0</v>
      </c>
      <c r="J7" s="504">
        <v>1</v>
      </c>
      <c r="K7" s="504">
        <v>1</v>
      </c>
      <c r="L7" s="504">
        <v>0</v>
      </c>
      <c r="M7" s="504">
        <v>5</v>
      </c>
      <c r="N7" s="504">
        <v>0</v>
      </c>
      <c r="O7" s="504">
        <v>0</v>
      </c>
      <c r="P7" s="504">
        <v>0</v>
      </c>
      <c r="Q7" s="504">
        <v>1</v>
      </c>
      <c r="R7" s="504">
        <v>3</v>
      </c>
      <c r="S7" s="511">
        <v>67134</v>
      </c>
      <c r="T7" s="512" t="s">
        <v>386</v>
      </c>
      <c r="U7" s="513" t="s">
        <v>313</v>
      </c>
      <c r="V7" s="511" t="s">
        <v>384</v>
      </c>
      <c r="W7" s="506" t="s">
        <v>339</v>
      </c>
      <c r="X7" s="514" t="s">
        <v>385</v>
      </c>
      <c r="Y7" s="509">
        <v>1</v>
      </c>
      <c r="Z7" s="509">
        <v>1</v>
      </c>
      <c r="AA7" s="509">
        <v>0</v>
      </c>
      <c r="AB7" s="510">
        <v>0</v>
      </c>
      <c r="AC7" s="509">
        <v>0</v>
      </c>
      <c r="AD7" s="509">
        <v>0</v>
      </c>
      <c r="AE7" s="509">
        <v>0</v>
      </c>
      <c r="AF7" s="510">
        <v>0</v>
      </c>
      <c r="AG7" s="509">
        <v>1</v>
      </c>
      <c r="AH7" s="509">
        <v>1</v>
      </c>
      <c r="AI7" s="509">
        <v>0</v>
      </c>
      <c r="AJ7" s="510">
        <v>0</v>
      </c>
      <c r="AK7" s="509">
        <v>0</v>
      </c>
      <c r="AL7" s="509">
        <v>0</v>
      </c>
      <c r="AM7" s="509">
        <v>0</v>
      </c>
      <c r="AN7" s="510">
        <v>0</v>
      </c>
      <c r="AP7" s="388" t="s">
        <v>140</v>
      </c>
      <c r="AQ7" s="389">
        <f>Italyalltestshistptsscored</f>
        <v>9174</v>
      </c>
      <c r="AS7" s="388" t="s">
        <v>140</v>
      </c>
      <c r="AT7" s="389">
        <f>ItalyRWChistptsscored</f>
        <v>627</v>
      </c>
    </row>
    <row r="8" spans="1:46" ht="14.95" customHeight="1" thickBot="1" x14ac:dyDescent="0.3">
      <c r="A8" s="501">
        <v>44737</v>
      </c>
      <c r="B8" s="503" t="s">
        <v>45</v>
      </c>
      <c r="C8" s="503" t="s">
        <v>125</v>
      </c>
      <c r="D8" s="503" t="s">
        <v>189</v>
      </c>
      <c r="E8" s="504" t="s">
        <v>1</v>
      </c>
      <c r="F8" s="504">
        <v>38</v>
      </c>
      <c r="G8" s="504">
        <v>31</v>
      </c>
      <c r="H8" s="504" t="s">
        <v>106</v>
      </c>
      <c r="I8" s="504" t="s">
        <v>106</v>
      </c>
      <c r="J8" s="504">
        <v>6</v>
      </c>
      <c r="K8" s="504">
        <v>3</v>
      </c>
      <c r="L8" s="504">
        <v>0</v>
      </c>
      <c r="M8" s="504">
        <v>0</v>
      </c>
      <c r="N8" s="504">
        <v>2</v>
      </c>
      <c r="O8" s="504">
        <v>0</v>
      </c>
      <c r="P8" s="504" t="s">
        <v>106</v>
      </c>
      <c r="Q8" s="504" t="s">
        <v>106</v>
      </c>
      <c r="R8" s="504">
        <v>4</v>
      </c>
      <c r="S8" s="511">
        <v>5100</v>
      </c>
      <c r="T8" s="524" t="s">
        <v>456</v>
      </c>
      <c r="U8" s="513" t="s">
        <v>457</v>
      </c>
      <c r="V8" s="511" t="s">
        <v>458</v>
      </c>
      <c r="W8" s="513" t="s">
        <v>459</v>
      </c>
      <c r="X8" s="511" t="s">
        <v>460</v>
      </c>
      <c r="Y8" s="509">
        <v>1</v>
      </c>
      <c r="Z8" s="509">
        <v>1</v>
      </c>
      <c r="AA8" s="509">
        <v>0</v>
      </c>
      <c r="AB8" s="510">
        <v>0</v>
      </c>
      <c r="AC8" s="509">
        <v>0</v>
      </c>
      <c r="AD8" s="509">
        <v>0</v>
      </c>
      <c r="AE8" s="509">
        <v>0</v>
      </c>
      <c r="AF8" s="510">
        <v>0</v>
      </c>
      <c r="AG8" s="509">
        <v>1</v>
      </c>
      <c r="AH8" s="509">
        <v>1</v>
      </c>
      <c r="AI8" s="509">
        <v>0</v>
      </c>
      <c r="AJ8" s="510">
        <v>0</v>
      </c>
      <c r="AK8" s="509">
        <v>0</v>
      </c>
      <c r="AL8" s="509">
        <v>0</v>
      </c>
      <c r="AM8" s="509">
        <v>0</v>
      </c>
      <c r="AN8" s="510">
        <v>0</v>
      </c>
      <c r="AP8" s="388" t="s">
        <v>141</v>
      </c>
      <c r="AQ8" s="389">
        <f>Italyalltestshistptsagainst</f>
        <v>12684</v>
      </c>
      <c r="AS8" s="388" t="s">
        <v>141</v>
      </c>
      <c r="AT8" s="389">
        <f>ItalyRWChistptsagainst</f>
        <v>977</v>
      </c>
    </row>
    <row r="9" spans="1:46" ht="14.95" customHeight="1" thickBot="1" x14ac:dyDescent="0.35">
      <c r="A9" s="501">
        <v>44743</v>
      </c>
      <c r="B9" s="503" t="s">
        <v>45</v>
      </c>
      <c r="C9" s="503" t="s">
        <v>123</v>
      </c>
      <c r="D9" s="503" t="s">
        <v>193</v>
      </c>
      <c r="E9" s="504" t="s">
        <v>1</v>
      </c>
      <c r="F9" s="504">
        <v>45</v>
      </c>
      <c r="G9" s="504">
        <v>13</v>
      </c>
      <c r="H9" s="504" t="s">
        <v>106</v>
      </c>
      <c r="I9" s="504" t="s">
        <v>106</v>
      </c>
      <c r="J9" s="504">
        <v>7</v>
      </c>
      <c r="K9" s="504">
        <v>5</v>
      </c>
      <c r="L9" s="504">
        <v>0</v>
      </c>
      <c r="M9" s="504">
        <v>0</v>
      </c>
      <c r="N9" s="504">
        <v>0</v>
      </c>
      <c r="O9" s="504">
        <v>0</v>
      </c>
      <c r="P9" s="504" t="s">
        <v>106</v>
      </c>
      <c r="Q9" s="504" t="s">
        <v>106</v>
      </c>
      <c r="R9" s="504">
        <v>1</v>
      </c>
      <c r="S9" s="506"/>
      <c r="T9" s="570" t="s">
        <v>496</v>
      </c>
      <c r="U9" s="506" t="s">
        <v>324</v>
      </c>
      <c r="V9" s="506" t="s">
        <v>338</v>
      </c>
      <c r="W9" s="506" t="s">
        <v>340</v>
      </c>
      <c r="X9" s="514" t="s">
        <v>497</v>
      </c>
      <c r="Y9" s="509">
        <v>1</v>
      </c>
      <c r="Z9" s="509">
        <v>1</v>
      </c>
      <c r="AA9" s="509">
        <v>0</v>
      </c>
      <c r="AB9" s="510">
        <v>0</v>
      </c>
      <c r="AC9" s="509">
        <v>0</v>
      </c>
      <c r="AD9" s="509">
        <v>0</v>
      </c>
      <c r="AE9" s="509">
        <v>0</v>
      </c>
      <c r="AF9" s="510">
        <v>0</v>
      </c>
      <c r="AG9" s="509">
        <v>1</v>
      </c>
      <c r="AH9" s="509">
        <v>1</v>
      </c>
      <c r="AI9" s="509">
        <v>0</v>
      </c>
      <c r="AJ9" s="510">
        <v>0</v>
      </c>
      <c r="AK9" s="509">
        <v>0</v>
      </c>
      <c r="AL9" s="509">
        <v>0</v>
      </c>
      <c r="AM9" s="509">
        <v>0</v>
      </c>
      <c r="AN9" s="510">
        <v>0</v>
      </c>
      <c r="AP9" s="388" t="s">
        <v>131</v>
      </c>
      <c r="AQ9" s="389">
        <f>Italyalltestshisttriesscored</f>
        <v>1022</v>
      </c>
      <c r="AS9" s="388" t="s">
        <v>131</v>
      </c>
      <c r="AT9" s="389">
        <f>ItalyRWChisttriesscored</f>
        <v>68</v>
      </c>
    </row>
    <row r="10" spans="1:46" ht="14.95" customHeight="1" thickBot="1" x14ac:dyDescent="0.3">
      <c r="A10" s="518">
        <v>44752</v>
      </c>
      <c r="B10" s="517" t="s">
        <v>45</v>
      </c>
      <c r="C10" s="517" t="s">
        <v>38</v>
      </c>
      <c r="D10" s="517" t="s">
        <v>575</v>
      </c>
      <c r="E10" s="504" t="s">
        <v>3</v>
      </c>
      <c r="F10" s="504">
        <v>19</v>
      </c>
      <c r="G10" s="504">
        <v>28</v>
      </c>
      <c r="H10" s="504" t="s">
        <v>106</v>
      </c>
      <c r="I10" s="504" t="s">
        <v>106</v>
      </c>
      <c r="J10" s="504">
        <v>1</v>
      </c>
      <c r="K10" s="504">
        <v>1</v>
      </c>
      <c r="L10" s="504">
        <v>0</v>
      </c>
      <c r="M10" s="504">
        <v>4</v>
      </c>
      <c r="N10" s="504">
        <v>1</v>
      </c>
      <c r="O10" s="504">
        <v>0</v>
      </c>
      <c r="P10" s="504" t="s">
        <v>106</v>
      </c>
      <c r="Q10" s="504" t="s">
        <v>106</v>
      </c>
      <c r="R10" s="504">
        <v>3</v>
      </c>
      <c r="S10" s="506">
        <v>20000</v>
      </c>
      <c r="T10" s="520" t="s">
        <v>579</v>
      </c>
      <c r="U10" s="506" t="s">
        <v>511</v>
      </c>
      <c r="V10" s="506" t="s">
        <v>338</v>
      </c>
      <c r="W10" s="506" t="s">
        <v>246</v>
      </c>
      <c r="X10" s="506" t="s">
        <v>578</v>
      </c>
      <c r="Y10" s="509">
        <v>1</v>
      </c>
      <c r="Z10" s="509">
        <v>0</v>
      </c>
      <c r="AA10" s="509">
        <v>0</v>
      </c>
      <c r="AB10" s="510">
        <v>1</v>
      </c>
      <c r="AC10" s="509">
        <v>0</v>
      </c>
      <c r="AD10" s="509">
        <v>0</v>
      </c>
      <c r="AE10" s="509">
        <v>0</v>
      </c>
      <c r="AF10" s="510">
        <v>0</v>
      </c>
      <c r="AG10" s="509">
        <v>1</v>
      </c>
      <c r="AH10" s="509">
        <v>0</v>
      </c>
      <c r="AI10" s="509">
        <v>0</v>
      </c>
      <c r="AJ10" s="510">
        <v>1</v>
      </c>
      <c r="AK10" s="509">
        <v>0</v>
      </c>
      <c r="AL10" s="509">
        <v>0</v>
      </c>
      <c r="AM10" s="509">
        <v>0</v>
      </c>
      <c r="AN10" s="510">
        <v>0</v>
      </c>
    </row>
    <row r="11" spans="1:46" ht="14.95" customHeight="1" thickBot="1" x14ac:dyDescent="0.35">
      <c r="A11" s="550">
        <v>44870</v>
      </c>
      <c r="B11" s="551" t="s">
        <v>721</v>
      </c>
      <c r="C11" s="552" t="s">
        <v>120</v>
      </c>
      <c r="D11" s="553" t="s">
        <v>720</v>
      </c>
      <c r="E11" s="530" t="s">
        <v>1</v>
      </c>
      <c r="F11" s="530">
        <v>49</v>
      </c>
      <c r="G11" s="530">
        <v>17</v>
      </c>
      <c r="H11" s="530" t="s">
        <v>106</v>
      </c>
      <c r="I11" s="530" t="s">
        <v>106</v>
      </c>
      <c r="J11" s="530">
        <v>6</v>
      </c>
      <c r="K11" s="530">
        <v>5</v>
      </c>
      <c r="L11" s="530">
        <v>0</v>
      </c>
      <c r="M11" s="530">
        <v>3</v>
      </c>
      <c r="N11" s="530">
        <v>0</v>
      </c>
      <c r="O11" s="530">
        <v>0</v>
      </c>
      <c r="P11" s="530" t="s">
        <v>106</v>
      </c>
      <c r="Q11" s="530" t="s">
        <v>106</v>
      </c>
      <c r="R11" s="530">
        <v>3</v>
      </c>
      <c r="S11" s="439">
        <v>8457</v>
      </c>
      <c r="T11" s="564" t="s">
        <v>788</v>
      </c>
      <c r="U11" s="439" t="s">
        <v>340</v>
      </c>
      <c r="V11" s="439" t="s">
        <v>511</v>
      </c>
      <c r="W11" s="439" t="s">
        <v>324</v>
      </c>
      <c r="X11" s="534" t="s">
        <v>789</v>
      </c>
      <c r="Y11" s="536">
        <v>1</v>
      </c>
      <c r="Z11" s="536">
        <v>1</v>
      </c>
      <c r="AA11" s="536">
        <v>0</v>
      </c>
      <c r="AB11" s="537">
        <v>0</v>
      </c>
      <c r="AC11" s="536">
        <v>1</v>
      </c>
      <c r="AD11" s="536">
        <v>1</v>
      </c>
      <c r="AE11" s="536">
        <v>0</v>
      </c>
      <c r="AF11" s="537">
        <v>0</v>
      </c>
      <c r="AG11" s="536">
        <v>0</v>
      </c>
      <c r="AH11" s="536">
        <v>0</v>
      </c>
      <c r="AI11" s="536">
        <v>0</v>
      </c>
      <c r="AJ11" s="537">
        <v>0</v>
      </c>
      <c r="AK11" s="536">
        <v>0</v>
      </c>
      <c r="AL11" s="536">
        <v>0</v>
      </c>
      <c r="AM11" s="536">
        <v>0</v>
      </c>
      <c r="AN11" s="537">
        <v>0</v>
      </c>
    </row>
    <row r="12" spans="1:46" ht="14.95" customHeight="1" thickBot="1" x14ac:dyDescent="0.35">
      <c r="A12" s="550">
        <v>44877</v>
      </c>
      <c r="B12" s="551" t="s">
        <v>721</v>
      </c>
      <c r="C12" s="552" t="s">
        <v>29</v>
      </c>
      <c r="D12" s="553" t="s">
        <v>730</v>
      </c>
      <c r="E12" s="530" t="s">
        <v>1</v>
      </c>
      <c r="F12" s="530">
        <v>28</v>
      </c>
      <c r="G12" s="530">
        <v>27</v>
      </c>
      <c r="H12" s="530" t="s">
        <v>106</v>
      </c>
      <c r="I12" s="530" t="s">
        <v>106</v>
      </c>
      <c r="J12" s="530">
        <v>3</v>
      </c>
      <c r="K12" s="530">
        <v>2</v>
      </c>
      <c r="L12" s="530">
        <v>0</v>
      </c>
      <c r="M12" s="530">
        <v>3</v>
      </c>
      <c r="N12" s="530">
        <v>0</v>
      </c>
      <c r="O12" s="530">
        <v>0</v>
      </c>
      <c r="P12" s="530" t="s">
        <v>106</v>
      </c>
      <c r="Q12" s="530" t="s">
        <v>106</v>
      </c>
      <c r="R12" s="530">
        <v>4</v>
      </c>
      <c r="S12" s="439">
        <v>20321</v>
      </c>
      <c r="T12" s="564" t="s">
        <v>624</v>
      </c>
      <c r="U12" s="439" t="s">
        <v>511</v>
      </c>
      <c r="V12" s="439" t="s">
        <v>368</v>
      </c>
      <c r="W12" s="439" t="s">
        <v>313</v>
      </c>
      <c r="X12" s="534" t="s">
        <v>246</v>
      </c>
      <c r="Y12" s="536">
        <v>1</v>
      </c>
      <c r="Z12" s="536">
        <v>1</v>
      </c>
      <c r="AA12" s="536">
        <v>0</v>
      </c>
      <c r="AB12" s="537">
        <v>0</v>
      </c>
      <c r="AC12" s="536">
        <v>1</v>
      </c>
      <c r="AD12" s="536">
        <v>1</v>
      </c>
      <c r="AE12" s="536">
        <v>0</v>
      </c>
      <c r="AF12" s="537">
        <v>0</v>
      </c>
      <c r="AG12" s="536">
        <v>0</v>
      </c>
      <c r="AH12" s="536">
        <v>0</v>
      </c>
      <c r="AI12" s="536">
        <v>0</v>
      </c>
      <c r="AJ12" s="537">
        <v>0</v>
      </c>
      <c r="AK12" s="536">
        <v>0</v>
      </c>
      <c r="AL12" s="536">
        <v>0</v>
      </c>
      <c r="AM12" s="536">
        <v>0</v>
      </c>
      <c r="AN12" s="537">
        <v>0</v>
      </c>
    </row>
    <row r="13" spans="1:46" ht="15.8" customHeight="1" thickBot="1" x14ac:dyDescent="0.3">
      <c r="A13" s="550">
        <v>44884</v>
      </c>
      <c r="B13" s="551" t="s">
        <v>721</v>
      </c>
      <c r="C13" s="552" t="s">
        <v>177</v>
      </c>
      <c r="D13" s="553" t="s">
        <v>740</v>
      </c>
      <c r="E13" s="530" t="s">
        <v>3</v>
      </c>
      <c r="F13" s="530">
        <v>21</v>
      </c>
      <c r="G13" s="530">
        <v>63</v>
      </c>
      <c r="H13" s="530" t="s">
        <v>106</v>
      </c>
      <c r="I13" s="530" t="s">
        <v>106</v>
      </c>
      <c r="J13" s="530">
        <v>2</v>
      </c>
      <c r="K13" s="530">
        <v>1</v>
      </c>
      <c r="L13" s="530">
        <v>0</v>
      </c>
      <c r="M13" s="530">
        <v>3</v>
      </c>
      <c r="N13" s="530">
        <v>0</v>
      </c>
      <c r="O13" s="530">
        <v>0</v>
      </c>
      <c r="P13" s="530" t="s">
        <v>106</v>
      </c>
      <c r="Q13" s="530" t="s">
        <v>106</v>
      </c>
      <c r="R13" s="530">
        <v>9</v>
      </c>
      <c r="S13" s="439">
        <v>26457</v>
      </c>
      <c r="T13" s="558" t="s">
        <v>835</v>
      </c>
      <c r="U13" s="439" t="s">
        <v>339</v>
      </c>
      <c r="V13" s="439" t="s">
        <v>338</v>
      </c>
      <c r="W13" s="439" t="s">
        <v>304</v>
      </c>
      <c r="X13" s="534" t="s">
        <v>332</v>
      </c>
      <c r="Y13" s="536">
        <v>1</v>
      </c>
      <c r="Z13" s="536">
        <v>0</v>
      </c>
      <c r="AA13" s="536">
        <v>0</v>
      </c>
      <c r="AB13" s="537">
        <v>1</v>
      </c>
      <c r="AC13" s="536">
        <v>1</v>
      </c>
      <c r="AD13" s="536">
        <v>0</v>
      </c>
      <c r="AE13" s="536">
        <v>0</v>
      </c>
      <c r="AF13" s="537">
        <v>1</v>
      </c>
      <c r="AG13" s="536">
        <v>0</v>
      </c>
      <c r="AH13" s="536">
        <v>0</v>
      </c>
      <c r="AI13" s="536">
        <v>0</v>
      </c>
      <c r="AJ13" s="537">
        <v>0</v>
      </c>
      <c r="AK13" s="536">
        <v>0</v>
      </c>
      <c r="AL13" s="536">
        <v>0</v>
      </c>
      <c r="AM13" s="536">
        <v>0</v>
      </c>
      <c r="AN13" s="537">
        <v>0</v>
      </c>
    </row>
    <row r="14" spans="1:46" ht="14.95" customHeight="1" thickBot="1" x14ac:dyDescent="0.3">
      <c r="A14" s="310"/>
      <c r="B14" s="311"/>
      <c r="C14" s="806" t="s">
        <v>108</v>
      </c>
      <c r="D14" s="807"/>
      <c r="E14" s="808"/>
      <c r="F14" s="309">
        <f>SUM(F3:F7)</f>
        <v>60</v>
      </c>
      <c r="G14" s="309">
        <f t="shared" ref="G14:R14" si="0">SUM(G3:G7)</f>
        <v>181</v>
      </c>
      <c r="H14" s="309">
        <f t="shared" si="0"/>
        <v>0</v>
      </c>
      <c r="I14" s="309">
        <f t="shared" si="0"/>
        <v>0</v>
      </c>
      <c r="J14" s="309">
        <f t="shared" si="0"/>
        <v>5</v>
      </c>
      <c r="K14" s="309">
        <f t="shared" si="0"/>
        <v>4</v>
      </c>
      <c r="L14" s="309">
        <f t="shared" si="0"/>
        <v>0</v>
      </c>
      <c r="M14" s="309">
        <f t="shared" si="0"/>
        <v>9</v>
      </c>
      <c r="N14" s="309">
        <f t="shared" si="0"/>
        <v>1</v>
      </c>
      <c r="O14" s="309">
        <f t="shared" si="0"/>
        <v>1</v>
      </c>
      <c r="P14" s="309">
        <f t="shared" si="0"/>
        <v>4</v>
      </c>
      <c r="Q14" s="309">
        <f t="shared" si="0"/>
        <v>1</v>
      </c>
      <c r="R14" s="309">
        <f t="shared" si="0"/>
        <v>27</v>
      </c>
      <c r="W14" s="306"/>
      <c r="X14" s="452" t="s">
        <v>108</v>
      </c>
      <c r="Y14" s="309">
        <f t="shared" ref="Y14:AN14" si="1">SUM(Y3:Y7)</f>
        <v>5</v>
      </c>
      <c r="Z14" s="309">
        <f t="shared" si="1"/>
        <v>1</v>
      </c>
      <c r="AA14" s="309">
        <f t="shared" si="1"/>
        <v>0</v>
      </c>
      <c r="AB14" s="309">
        <f t="shared" si="1"/>
        <v>4</v>
      </c>
      <c r="AC14" s="307">
        <f t="shared" si="1"/>
        <v>2</v>
      </c>
      <c r="AD14" s="307">
        <f t="shared" si="1"/>
        <v>0</v>
      </c>
      <c r="AE14" s="307">
        <f t="shared" si="1"/>
        <v>0</v>
      </c>
      <c r="AF14" s="307">
        <f t="shared" si="1"/>
        <v>2</v>
      </c>
      <c r="AG14" s="308">
        <f t="shared" si="1"/>
        <v>3</v>
      </c>
      <c r="AH14" s="308">
        <f t="shared" si="1"/>
        <v>1</v>
      </c>
      <c r="AI14" s="308">
        <f t="shared" si="1"/>
        <v>0</v>
      </c>
      <c r="AJ14" s="308">
        <f t="shared" si="1"/>
        <v>2</v>
      </c>
      <c r="AK14" s="309">
        <f t="shared" si="1"/>
        <v>0</v>
      </c>
      <c r="AL14" s="309">
        <f t="shared" si="1"/>
        <v>0</v>
      </c>
      <c r="AM14" s="309">
        <f t="shared" si="1"/>
        <v>0</v>
      </c>
      <c r="AN14" s="309">
        <f t="shared" si="1"/>
        <v>0</v>
      </c>
    </row>
    <row r="15" spans="1:46" ht="14.95" thickBot="1" x14ac:dyDescent="0.3">
      <c r="A15" s="607"/>
      <c r="B15" s="608"/>
      <c r="C15" s="771" t="s">
        <v>173</v>
      </c>
      <c r="D15" s="772"/>
      <c r="E15" s="773"/>
      <c r="F15" s="602">
        <f>SUM(F8:F13)</f>
        <v>200</v>
      </c>
      <c r="G15" s="602">
        <f>SUM(G8:G13)</f>
        <v>179</v>
      </c>
      <c r="H15" s="602" t="s">
        <v>106</v>
      </c>
      <c r="I15" s="602" t="s">
        <v>106</v>
      </c>
      <c r="J15" s="602">
        <f t="shared" ref="J15:O15" si="2">SUM(J8:J13)</f>
        <v>25</v>
      </c>
      <c r="K15" s="602">
        <f t="shared" si="2"/>
        <v>17</v>
      </c>
      <c r="L15" s="602">
        <f t="shared" si="2"/>
        <v>0</v>
      </c>
      <c r="M15" s="602">
        <f t="shared" si="2"/>
        <v>13</v>
      </c>
      <c r="N15" s="602">
        <f t="shared" si="2"/>
        <v>3</v>
      </c>
      <c r="O15" s="602">
        <f t="shared" si="2"/>
        <v>0</v>
      </c>
      <c r="P15" s="602" t="s">
        <v>106</v>
      </c>
      <c r="Q15" s="602" t="s">
        <v>106</v>
      </c>
      <c r="R15" s="602">
        <f>SUM(R8:R13)</f>
        <v>24</v>
      </c>
      <c r="S15" s="599"/>
      <c r="T15" s="599"/>
      <c r="U15" s="599"/>
      <c r="V15" s="599"/>
      <c r="W15" s="600"/>
      <c r="X15" s="601" t="s">
        <v>173</v>
      </c>
      <c r="Y15" s="602">
        <f t="shared" ref="Y15:AN15" si="3">SUM(Y8:Y13)</f>
        <v>6</v>
      </c>
      <c r="Z15" s="602">
        <f t="shared" si="3"/>
        <v>4</v>
      </c>
      <c r="AA15" s="602">
        <f t="shared" si="3"/>
        <v>0</v>
      </c>
      <c r="AB15" s="602">
        <f t="shared" si="3"/>
        <v>2</v>
      </c>
      <c r="AC15" s="603">
        <f t="shared" si="3"/>
        <v>3</v>
      </c>
      <c r="AD15" s="603">
        <f t="shared" si="3"/>
        <v>2</v>
      </c>
      <c r="AE15" s="603">
        <f t="shared" si="3"/>
        <v>0</v>
      </c>
      <c r="AF15" s="603">
        <f t="shared" si="3"/>
        <v>1</v>
      </c>
      <c r="AG15" s="604">
        <f t="shared" si="3"/>
        <v>3</v>
      </c>
      <c r="AH15" s="604">
        <f t="shared" si="3"/>
        <v>2</v>
      </c>
      <c r="AI15" s="604">
        <f t="shared" si="3"/>
        <v>0</v>
      </c>
      <c r="AJ15" s="604">
        <f t="shared" si="3"/>
        <v>1</v>
      </c>
      <c r="AK15" s="602">
        <f t="shared" si="3"/>
        <v>0</v>
      </c>
      <c r="AL15" s="602">
        <f t="shared" si="3"/>
        <v>0</v>
      </c>
      <c r="AM15" s="602">
        <f t="shared" si="3"/>
        <v>0</v>
      </c>
      <c r="AN15" s="602">
        <f t="shared" si="3"/>
        <v>0</v>
      </c>
    </row>
    <row r="16" spans="1:46" ht="14.95" thickBot="1" x14ac:dyDescent="0.3">
      <c r="A16" s="310"/>
      <c r="B16" s="311"/>
      <c r="C16" s="760" t="s">
        <v>107</v>
      </c>
      <c r="D16" s="761"/>
      <c r="E16" s="762"/>
      <c r="F16" s="422">
        <f>SUM(F3:F13)</f>
        <v>260</v>
      </c>
      <c r="G16" s="422">
        <f t="shared" ref="G16:R16" si="4">SUM(G3:G13)</f>
        <v>360</v>
      </c>
      <c r="H16" s="422">
        <f t="shared" si="4"/>
        <v>0</v>
      </c>
      <c r="I16" s="422">
        <f t="shared" si="4"/>
        <v>0</v>
      </c>
      <c r="J16" s="422">
        <f t="shared" si="4"/>
        <v>30</v>
      </c>
      <c r="K16" s="422">
        <f t="shared" si="4"/>
        <v>21</v>
      </c>
      <c r="L16" s="422">
        <f t="shared" si="4"/>
        <v>0</v>
      </c>
      <c r="M16" s="422">
        <f t="shared" si="4"/>
        <v>22</v>
      </c>
      <c r="N16" s="422">
        <f t="shared" si="4"/>
        <v>4</v>
      </c>
      <c r="O16" s="422">
        <f t="shared" si="4"/>
        <v>1</v>
      </c>
      <c r="P16" s="422">
        <f t="shared" si="4"/>
        <v>4</v>
      </c>
      <c r="Q16" s="422">
        <f t="shared" si="4"/>
        <v>1</v>
      </c>
      <c r="R16" s="422">
        <f t="shared" si="4"/>
        <v>51</v>
      </c>
      <c r="S16" s="419"/>
      <c r="T16" s="419"/>
      <c r="U16" s="419"/>
      <c r="V16" s="419"/>
      <c r="W16" s="13"/>
      <c r="X16" s="447" t="s">
        <v>107</v>
      </c>
      <c r="Y16" s="422">
        <f t="shared" ref="Y16:AN16" si="5">SUM(Y3:Y13)</f>
        <v>11</v>
      </c>
      <c r="Z16" s="422">
        <f t="shared" si="5"/>
        <v>5</v>
      </c>
      <c r="AA16" s="422">
        <f t="shared" si="5"/>
        <v>0</v>
      </c>
      <c r="AB16" s="422">
        <f t="shared" si="5"/>
        <v>6</v>
      </c>
      <c r="AC16" s="420">
        <f t="shared" si="5"/>
        <v>5</v>
      </c>
      <c r="AD16" s="420">
        <f t="shared" si="5"/>
        <v>2</v>
      </c>
      <c r="AE16" s="420">
        <f t="shared" si="5"/>
        <v>0</v>
      </c>
      <c r="AF16" s="420">
        <f t="shared" si="5"/>
        <v>3</v>
      </c>
      <c r="AG16" s="421">
        <f t="shared" si="5"/>
        <v>6</v>
      </c>
      <c r="AH16" s="421">
        <f t="shared" si="5"/>
        <v>3</v>
      </c>
      <c r="AI16" s="421">
        <f t="shared" si="5"/>
        <v>0</v>
      </c>
      <c r="AJ16" s="421">
        <f t="shared" si="5"/>
        <v>3</v>
      </c>
      <c r="AK16" s="422">
        <f t="shared" si="5"/>
        <v>0</v>
      </c>
      <c r="AL16" s="422">
        <f t="shared" si="5"/>
        <v>0</v>
      </c>
      <c r="AM16" s="422">
        <f t="shared" si="5"/>
        <v>0</v>
      </c>
      <c r="AN16" s="422">
        <f t="shared" si="5"/>
        <v>0</v>
      </c>
    </row>
    <row r="17" spans="1:40" x14ac:dyDescent="0.25">
      <c r="A17" s="788" t="s">
        <v>725</v>
      </c>
      <c r="B17" s="743"/>
      <c r="C17" s="743"/>
      <c r="D17" s="743"/>
      <c r="E17" s="743"/>
      <c r="F17" s="743"/>
      <c r="G17" s="743"/>
      <c r="H17" s="743"/>
      <c r="I17" s="743"/>
      <c r="J17" s="743"/>
      <c r="K17" s="743"/>
      <c r="L17" s="743"/>
      <c r="M17" s="743"/>
      <c r="N17" s="743"/>
      <c r="O17" s="743"/>
      <c r="P17" s="743"/>
      <c r="Q17" s="743"/>
      <c r="R17" s="743"/>
    </row>
    <row r="18" spans="1:40" x14ac:dyDescent="0.25">
      <c r="A18" t="s">
        <v>220</v>
      </c>
      <c r="F18" s="14"/>
      <c r="G18" s="14"/>
      <c r="H18" s="13"/>
      <c r="I18" s="14"/>
      <c r="J18" s="14"/>
      <c r="K18" s="14"/>
      <c r="L18" s="14"/>
      <c r="M18" s="14"/>
      <c r="N18" s="14"/>
      <c r="O18" s="14"/>
      <c r="P18" s="14"/>
      <c r="Q18" s="14"/>
      <c r="R18" s="14"/>
    </row>
    <row r="19" spans="1:40" x14ac:dyDescent="0.25">
      <c r="A19" t="s">
        <v>454</v>
      </c>
      <c r="F19" s="14"/>
      <c r="G19" s="14"/>
      <c r="H19" s="13"/>
      <c r="I19" s="14"/>
      <c r="J19" s="14"/>
      <c r="K19" s="14"/>
      <c r="L19" s="14"/>
      <c r="M19" s="14"/>
      <c r="N19" s="14"/>
      <c r="O19" s="14"/>
      <c r="P19" s="14"/>
      <c r="Q19" s="14"/>
      <c r="R19" s="14"/>
    </row>
    <row r="20" spans="1:40" x14ac:dyDescent="0.25">
      <c r="A20" s="788" t="s">
        <v>576</v>
      </c>
      <c r="B20" s="743"/>
      <c r="C20" s="743"/>
      <c r="D20" s="743"/>
      <c r="E20" s="743"/>
      <c r="F20" s="743"/>
      <c r="G20" s="743"/>
      <c r="H20" s="743"/>
      <c r="I20" s="743"/>
      <c r="J20" s="743"/>
      <c r="K20" s="743"/>
      <c r="L20" s="743"/>
      <c r="M20" s="743"/>
      <c r="N20" s="743"/>
      <c r="O20" s="743"/>
      <c r="P20" s="743"/>
      <c r="Q20" s="743"/>
      <c r="R20" s="743"/>
      <c r="S20" s="743"/>
      <c r="T20" s="743"/>
      <c r="U20" s="743"/>
      <c r="V20" s="743"/>
      <c r="W20" s="743"/>
      <c r="X20" s="743"/>
      <c r="Y20" s="743"/>
      <c r="Z20" s="743"/>
      <c r="AA20" s="743"/>
      <c r="AB20" s="743"/>
      <c r="AC20" s="743"/>
      <c r="AD20" s="743"/>
      <c r="AE20" s="743"/>
      <c r="AF20" s="743"/>
      <c r="AG20" s="743"/>
      <c r="AH20" s="743"/>
      <c r="AI20" s="743"/>
      <c r="AJ20" s="743"/>
      <c r="AK20" s="743"/>
      <c r="AL20" s="743"/>
      <c r="AM20" s="743"/>
      <c r="AN20" s="743"/>
    </row>
    <row r="21" spans="1:40" x14ac:dyDescent="0.25">
      <c r="A21" s="788" t="s">
        <v>731</v>
      </c>
      <c r="B21" s="743"/>
      <c r="C21" s="743"/>
      <c r="D21" s="743"/>
      <c r="E21" s="743"/>
      <c r="F21" s="743"/>
      <c r="G21" s="743"/>
      <c r="H21" s="743"/>
      <c r="I21" s="743"/>
      <c r="J21" s="743"/>
      <c r="K21" s="743"/>
      <c r="L21" s="743"/>
      <c r="M21" s="743"/>
      <c r="N21" s="743"/>
      <c r="O21" s="743"/>
      <c r="P21" s="743"/>
      <c r="Q21" s="743"/>
      <c r="R21" s="743"/>
    </row>
    <row r="22" spans="1:40" x14ac:dyDescent="0.25">
      <c r="A22" s="788" t="s">
        <v>741</v>
      </c>
      <c r="B22" s="743"/>
      <c r="C22" s="743"/>
      <c r="D22" s="743"/>
      <c r="E22" s="743"/>
      <c r="F22" s="743"/>
      <c r="G22" s="743"/>
      <c r="H22" s="743"/>
      <c r="I22" s="743"/>
      <c r="J22" s="743"/>
      <c r="K22" s="743"/>
      <c r="L22" s="743"/>
      <c r="M22" s="743"/>
      <c r="N22" s="743"/>
      <c r="O22" s="743"/>
      <c r="P22" s="743"/>
      <c r="Q22" s="743"/>
      <c r="R22" s="743"/>
    </row>
    <row r="23" spans="1:40" x14ac:dyDescent="0.25">
      <c r="A23" t="s">
        <v>455</v>
      </c>
    </row>
    <row r="24" spans="1:40" x14ac:dyDescent="0.25">
      <c r="A24" s="155"/>
      <c r="B24" t="s">
        <v>44</v>
      </c>
    </row>
    <row r="25" spans="1:40" x14ac:dyDescent="0.25">
      <c r="A25" s="153"/>
      <c r="B25" t="s">
        <v>42</v>
      </c>
    </row>
    <row r="26" spans="1:40" x14ac:dyDescent="0.25">
      <c r="A26" s="154"/>
      <c r="B26" t="s">
        <v>43</v>
      </c>
    </row>
    <row r="27" spans="1:40" x14ac:dyDescent="0.25">
      <c r="A27" s="455" t="s">
        <v>28</v>
      </c>
    </row>
  </sheetData>
  <mergeCells count="17">
    <mergeCell ref="N1:O1"/>
    <mergeCell ref="C15:E15"/>
    <mergeCell ref="A21:R21"/>
    <mergeCell ref="A22:R22"/>
    <mergeCell ref="A20:AN20"/>
    <mergeCell ref="Y1:AB1"/>
    <mergeCell ref="AC1:AF1"/>
    <mergeCell ref="AG1:AJ1"/>
    <mergeCell ref="AK1:AN1"/>
    <mergeCell ref="C14:E14"/>
    <mergeCell ref="A17:R17"/>
    <mergeCell ref="C16:E16"/>
    <mergeCell ref="P1:R1"/>
    <mergeCell ref="A1:C1"/>
    <mergeCell ref="E1:G1"/>
    <mergeCell ref="H1:I1"/>
    <mergeCell ref="J1:M1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T19"/>
  <sheetViews>
    <sheetView zoomScaleNormal="100" workbookViewId="0">
      <pane ySplit="2" topLeftCell="A3" activePane="bottomLeft" state="frozen"/>
      <selection pane="bottomLeft" activeCell="U3" sqref="U3"/>
    </sheetView>
  </sheetViews>
  <sheetFormatPr defaultRowHeight="14.3" x14ac:dyDescent="0.25"/>
  <cols>
    <col min="1" max="1" width="7.5" customWidth="1"/>
    <col min="2" max="2" width="4.5" bestFit="1" customWidth="1"/>
    <col min="3" max="3" width="9.75" bestFit="1" customWidth="1"/>
    <col min="4" max="4" width="4.875" bestFit="1" customWidth="1"/>
    <col min="5" max="5" width="3.625" customWidth="1"/>
    <col min="6" max="7" width="4" bestFit="1" customWidth="1"/>
    <col min="8" max="18" width="3.625" customWidth="1"/>
    <col min="19" max="20" width="6.375" customWidth="1"/>
    <col min="21" max="21" width="30.5" customWidth="1"/>
    <col min="22" max="22" width="23.5" bestFit="1" customWidth="1"/>
    <col min="23" max="24" width="23.625" customWidth="1"/>
    <col min="25" max="40" width="3.625" customWidth="1"/>
    <col min="42" max="42" width="13.125" bestFit="1" customWidth="1"/>
    <col min="45" max="45" width="13.125" bestFit="1" customWidth="1"/>
  </cols>
  <sheetData>
    <row r="1" spans="1:46" ht="14.95" customHeight="1" thickBot="1" x14ac:dyDescent="0.3">
      <c r="A1" s="874" t="s">
        <v>206</v>
      </c>
      <c r="B1" s="875"/>
      <c r="C1" s="875"/>
      <c r="D1" s="205"/>
      <c r="E1" s="876" t="s">
        <v>24</v>
      </c>
      <c r="F1" s="877"/>
      <c r="G1" s="878"/>
      <c r="H1" s="876" t="s">
        <v>23</v>
      </c>
      <c r="I1" s="878"/>
      <c r="J1" s="871" t="s">
        <v>6</v>
      </c>
      <c r="K1" s="872"/>
      <c r="L1" s="872"/>
      <c r="M1" s="873"/>
      <c r="N1" s="871" t="s">
        <v>7</v>
      </c>
      <c r="O1" s="873"/>
      <c r="P1" s="871" t="s">
        <v>25</v>
      </c>
      <c r="Q1" s="872"/>
      <c r="R1" s="873"/>
      <c r="S1" s="430" t="s">
        <v>8</v>
      </c>
      <c r="T1" s="430" t="s">
        <v>9</v>
      </c>
      <c r="U1" s="207" t="s">
        <v>10</v>
      </c>
      <c r="V1" s="206" t="s">
        <v>11</v>
      </c>
      <c r="W1" s="208" t="s">
        <v>26</v>
      </c>
      <c r="X1" s="209" t="s">
        <v>27</v>
      </c>
      <c r="Y1" s="870" t="s">
        <v>20</v>
      </c>
      <c r="Z1" s="753"/>
      <c r="AA1" s="753"/>
      <c r="AB1" s="754"/>
      <c r="AC1" s="870" t="s">
        <v>61</v>
      </c>
      <c r="AD1" s="753"/>
      <c r="AE1" s="753"/>
      <c r="AF1" s="754"/>
      <c r="AG1" s="870" t="s">
        <v>62</v>
      </c>
      <c r="AH1" s="753"/>
      <c r="AI1" s="753"/>
      <c r="AJ1" s="754"/>
      <c r="AK1" s="870" t="s">
        <v>63</v>
      </c>
      <c r="AL1" s="753"/>
      <c r="AM1" s="753"/>
      <c r="AN1" s="754"/>
      <c r="AP1" s="405" t="s">
        <v>151</v>
      </c>
      <c r="AQ1" s="397"/>
      <c r="AR1" s="397"/>
      <c r="AS1" s="405" t="s">
        <v>151</v>
      </c>
    </row>
    <row r="2" spans="1:46" ht="14.95" customHeight="1" thickBot="1" x14ac:dyDescent="0.35">
      <c r="A2" s="210" t="s">
        <v>19</v>
      </c>
      <c r="B2" s="211" t="s">
        <v>18</v>
      </c>
      <c r="C2" s="212" t="s">
        <v>17</v>
      </c>
      <c r="D2" s="212" t="s">
        <v>41</v>
      </c>
      <c r="E2" s="213" t="s">
        <v>16</v>
      </c>
      <c r="F2" s="213" t="s">
        <v>4</v>
      </c>
      <c r="G2" s="213" t="s">
        <v>5</v>
      </c>
      <c r="H2" s="214" t="s">
        <v>12</v>
      </c>
      <c r="I2" s="214" t="s">
        <v>3</v>
      </c>
      <c r="J2" s="214" t="s">
        <v>12</v>
      </c>
      <c r="K2" s="214" t="s">
        <v>13</v>
      </c>
      <c r="L2" s="214" t="s">
        <v>2</v>
      </c>
      <c r="M2" s="214" t="s">
        <v>14</v>
      </c>
      <c r="N2" s="214" t="s">
        <v>15</v>
      </c>
      <c r="O2" s="214" t="s">
        <v>16</v>
      </c>
      <c r="P2" s="214" t="s">
        <v>21</v>
      </c>
      <c r="Q2" s="214" t="s">
        <v>22</v>
      </c>
      <c r="R2" s="214" t="s">
        <v>12</v>
      </c>
      <c r="S2" s="215"/>
      <c r="T2" s="216"/>
      <c r="U2" s="326"/>
      <c r="V2" s="215"/>
      <c r="W2" s="217"/>
      <c r="X2" s="218"/>
      <c r="Y2" s="423" t="s">
        <v>0</v>
      </c>
      <c r="Z2" s="423" t="s">
        <v>1</v>
      </c>
      <c r="AA2" s="423" t="s">
        <v>2</v>
      </c>
      <c r="AB2" s="423" t="s">
        <v>3</v>
      </c>
      <c r="AC2" s="423" t="s">
        <v>0</v>
      </c>
      <c r="AD2" s="423" t="s">
        <v>1</v>
      </c>
      <c r="AE2" s="423" t="s">
        <v>2</v>
      </c>
      <c r="AF2" s="423" t="s">
        <v>3</v>
      </c>
      <c r="AG2" s="423" t="s">
        <v>0</v>
      </c>
      <c r="AH2" s="423" t="s">
        <v>1</v>
      </c>
      <c r="AI2" s="423" t="s">
        <v>2</v>
      </c>
      <c r="AJ2" s="423" t="s">
        <v>3</v>
      </c>
      <c r="AK2" s="423" t="s">
        <v>0</v>
      </c>
      <c r="AL2" s="423" t="s">
        <v>1</v>
      </c>
      <c r="AM2" s="423" t="s">
        <v>2</v>
      </c>
      <c r="AN2" s="423" t="s">
        <v>3</v>
      </c>
      <c r="AP2" s="367" t="s">
        <v>107</v>
      </c>
      <c r="AQ2" s="204"/>
      <c r="AS2" s="368" t="s">
        <v>130</v>
      </c>
      <c r="AT2" s="204"/>
    </row>
    <row r="3" spans="1:46" ht="14.95" customHeight="1" thickBot="1" x14ac:dyDescent="0.35">
      <c r="A3" s="528">
        <v>44730</v>
      </c>
      <c r="B3" s="628" t="s">
        <v>45</v>
      </c>
      <c r="C3" s="529" t="s">
        <v>105</v>
      </c>
      <c r="D3" s="529" t="s">
        <v>446</v>
      </c>
      <c r="E3" s="530" t="s">
        <v>1</v>
      </c>
      <c r="F3" s="530">
        <v>34</v>
      </c>
      <c r="G3" s="530">
        <v>15</v>
      </c>
      <c r="H3" s="530" t="s">
        <v>106</v>
      </c>
      <c r="I3" s="530" t="s">
        <v>106</v>
      </c>
      <c r="J3" s="530">
        <v>5</v>
      </c>
      <c r="K3" s="530">
        <v>3</v>
      </c>
      <c r="L3" s="530">
        <v>0</v>
      </c>
      <c r="M3" s="530">
        <v>1</v>
      </c>
      <c r="N3" s="530">
        <v>1</v>
      </c>
      <c r="O3" s="530">
        <v>0</v>
      </c>
      <c r="P3" s="530" t="s">
        <v>106</v>
      </c>
      <c r="Q3" s="530" t="s">
        <v>106</v>
      </c>
      <c r="R3" s="530">
        <v>2</v>
      </c>
      <c r="S3" s="531">
        <v>14448</v>
      </c>
      <c r="T3" s="543" t="s">
        <v>447</v>
      </c>
      <c r="U3" s="533" t="s">
        <v>448</v>
      </c>
      <c r="V3" s="531" t="s">
        <v>449</v>
      </c>
      <c r="W3" s="534" t="s">
        <v>450</v>
      </c>
      <c r="X3" s="535" t="s">
        <v>451</v>
      </c>
      <c r="Y3" s="536">
        <v>1</v>
      </c>
      <c r="Z3" s="536">
        <v>1</v>
      </c>
      <c r="AA3" s="536">
        <v>0</v>
      </c>
      <c r="AB3" s="537">
        <v>0</v>
      </c>
      <c r="AC3" s="536">
        <v>1</v>
      </c>
      <c r="AD3" s="536">
        <v>1</v>
      </c>
      <c r="AE3" s="536">
        <v>0</v>
      </c>
      <c r="AF3" s="536">
        <v>0</v>
      </c>
      <c r="AG3" s="536">
        <v>0</v>
      </c>
      <c r="AH3" s="536">
        <v>0</v>
      </c>
      <c r="AI3" s="536">
        <v>0</v>
      </c>
      <c r="AJ3" s="536">
        <v>0</v>
      </c>
      <c r="AK3" s="536">
        <v>0</v>
      </c>
      <c r="AL3" s="536">
        <v>0</v>
      </c>
      <c r="AM3" s="536">
        <v>0</v>
      </c>
      <c r="AN3" s="536">
        <v>0</v>
      </c>
      <c r="AP3" s="386" t="s">
        <v>132</v>
      </c>
      <c r="AQ3" s="387">
        <f>Japanalltestshistplayed</f>
        <v>369</v>
      </c>
      <c r="AS3" s="386" t="s">
        <v>132</v>
      </c>
      <c r="AT3" s="387">
        <f>JapanRWChistplayed</f>
        <v>33</v>
      </c>
    </row>
    <row r="4" spans="1:46" ht="14.95" customHeight="1" thickBot="1" x14ac:dyDescent="0.35">
      <c r="A4" s="528">
        <v>44737</v>
      </c>
      <c r="B4" s="628" t="s">
        <v>45</v>
      </c>
      <c r="C4" s="529" t="s">
        <v>105</v>
      </c>
      <c r="D4" s="529" t="s">
        <v>465</v>
      </c>
      <c r="E4" s="530" t="s">
        <v>1</v>
      </c>
      <c r="F4" s="530">
        <v>43</v>
      </c>
      <c r="G4" s="530">
        <v>7</v>
      </c>
      <c r="H4" s="530" t="s">
        <v>106</v>
      </c>
      <c r="I4" s="530" t="s">
        <v>106</v>
      </c>
      <c r="J4" s="530">
        <v>6</v>
      </c>
      <c r="K4" s="530">
        <v>1</v>
      </c>
      <c r="L4" s="530">
        <v>0</v>
      </c>
      <c r="M4" s="530">
        <v>3</v>
      </c>
      <c r="N4" s="530">
        <v>1</v>
      </c>
      <c r="O4" s="530">
        <v>0</v>
      </c>
      <c r="P4" s="530" t="s">
        <v>106</v>
      </c>
      <c r="Q4" s="530" t="s">
        <v>106</v>
      </c>
      <c r="R4" s="530">
        <v>1</v>
      </c>
      <c r="S4" s="531">
        <v>11664</v>
      </c>
      <c r="T4" s="543" t="s">
        <v>467</v>
      </c>
      <c r="U4" s="533" t="s">
        <v>451</v>
      </c>
      <c r="V4" s="531" t="s">
        <v>468</v>
      </c>
      <c r="W4" s="534" t="s">
        <v>450</v>
      </c>
      <c r="X4" s="535" t="s">
        <v>469</v>
      </c>
      <c r="Y4" s="536">
        <v>1</v>
      </c>
      <c r="Z4" s="536">
        <v>1</v>
      </c>
      <c r="AA4" s="536">
        <v>0</v>
      </c>
      <c r="AB4" s="537">
        <v>0</v>
      </c>
      <c r="AC4" s="536">
        <v>1</v>
      </c>
      <c r="AD4" s="536">
        <v>1</v>
      </c>
      <c r="AE4" s="536">
        <v>0</v>
      </c>
      <c r="AF4" s="537">
        <v>0</v>
      </c>
      <c r="AG4" s="536">
        <v>0</v>
      </c>
      <c r="AH4" s="536">
        <v>0</v>
      </c>
      <c r="AI4" s="536">
        <v>0</v>
      </c>
      <c r="AJ4" s="537">
        <v>0</v>
      </c>
      <c r="AK4" s="536">
        <v>0</v>
      </c>
      <c r="AL4" s="536">
        <v>0</v>
      </c>
      <c r="AM4" s="536">
        <v>0</v>
      </c>
      <c r="AN4" s="537">
        <v>0</v>
      </c>
      <c r="AP4" s="388" t="s">
        <v>133</v>
      </c>
      <c r="AQ4" s="389">
        <f>Japanalltestshistwon</f>
        <v>160</v>
      </c>
      <c r="AS4" s="388" t="s">
        <v>133</v>
      </c>
      <c r="AT4" s="389">
        <f>JapanRWChistwon</f>
        <v>8</v>
      </c>
    </row>
    <row r="5" spans="1:46" ht="14.95" customHeight="1" thickBot="1" x14ac:dyDescent="0.3">
      <c r="A5" s="528">
        <v>44744</v>
      </c>
      <c r="B5" s="628" t="s">
        <v>45</v>
      </c>
      <c r="C5" s="529" t="s">
        <v>34</v>
      </c>
      <c r="D5" s="529" t="s">
        <v>470</v>
      </c>
      <c r="E5" s="530" t="s">
        <v>3</v>
      </c>
      <c r="F5" s="530">
        <v>23</v>
      </c>
      <c r="G5" s="530">
        <v>42</v>
      </c>
      <c r="H5" s="530" t="s">
        <v>106</v>
      </c>
      <c r="I5" s="530" t="s">
        <v>106</v>
      </c>
      <c r="J5" s="530">
        <v>2</v>
      </c>
      <c r="K5" s="530">
        <v>2</v>
      </c>
      <c r="L5" s="530">
        <v>0</v>
      </c>
      <c r="M5" s="530">
        <v>3</v>
      </c>
      <c r="N5" s="530">
        <v>0</v>
      </c>
      <c r="O5" s="530">
        <v>0</v>
      </c>
      <c r="P5" s="530" t="s">
        <v>106</v>
      </c>
      <c r="Q5" s="530" t="s">
        <v>106</v>
      </c>
      <c r="R5" s="530">
        <v>5</v>
      </c>
      <c r="S5" s="531">
        <v>24570</v>
      </c>
      <c r="T5" s="679" t="s">
        <v>499</v>
      </c>
      <c r="U5" s="533" t="s">
        <v>299</v>
      </c>
      <c r="V5" s="531" t="s">
        <v>267</v>
      </c>
      <c r="W5" s="534" t="s">
        <v>305</v>
      </c>
      <c r="X5" s="535" t="s">
        <v>500</v>
      </c>
      <c r="Y5" s="536">
        <v>1</v>
      </c>
      <c r="Z5" s="536">
        <v>0</v>
      </c>
      <c r="AA5" s="536">
        <v>0</v>
      </c>
      <c r="AB5" s="537">
        <v>1</v>
      </c>
      <c r="AC5" s="536">
        <v>1</v>
      </c>
      <c r="AD5" s="536">
        <v>0</v>
      </c>
      <c r="AE5" s="536">
        <v>0</v>
      </c>
      <c r="AF5" s="537">
        <v>1</v>
      </c>
      <c r="AG5" s="536">
        <v>0</v>
      </c>
      <c r="AH5" s="536">
        <v>0</v>
      </c>
      <c r="AI5" s="536">
        <v>0</v>
      </c>
      <c r="AJ5" s="537">
        <v>0</v>
      </c>
      <c r="AK5" s="536">
        <v>0</v>
      </c>
      <c r="AL5" s="536">
        <v>0</v>
      </c>
      <c r="AM5" s="536">
        <v>0</v>
      </c>
      <c r="AN5" s="537">
        <v>0</v>
      </c>
      <c r="AP5" s="388" t="s">
        <v>139</v>
      </c>
      <c r="AQ5" s="389">
        <f>Japanalltestshistdrawn</f>
        <v>10</v>
      </c>
      <c r="AS5" s="388" t="s">
        <v>139</v>
      </c>
      <c r="AT5" s="389">
        <f>JapanRWChistdrawn</f>
        <v>2</v>
      </c>
    </row>
    <row r="6" spans="1:46" ht="14.95" customHeight="1" thickBot="1" x14ac:dyDescent="0.35">
      <c r="A6" s="528">
        <v>44751</v>
      </c>
      <c r="B6" s="628" t="s">
        <v>45</v>
      </c>
      <c r="C6" s="529" t="s">
        <v>34</v>
      </c>
      <c r="D6" s="529" t="s">
        <v>471</v>
      </c>
      <c r="E6" s="530" t="s">
        <v>3</v>
      </c>
      <c r="F6" s="530">
        <v>15</v>
      </c>
      <c r="G6" s="530">
        <v>20</v>
      </c>
      <c r="H6" s="530" t="s">
        <v>106</v>
      </c>
      <c r="I6" s="530" t="s">
        <v>106</v>
      </c>
      <c r="J6" s="530">
        <v>2</v>
      </c>
      <c r="K6" s="530">
        <v>1</v>
      </c>
      <c r="L6" s="530">
        <v>0</v>
      </c>
      <c r="M6" s="530">
        <v>1</v>
      </c>
      <c r="N6" s="530">
        <v>0</v>
      </c>
      <c r="O6" s="530">
        <v>0</v>
      </c>
      <c r="P6" s="530" t="s">
        <v>106</v>
      </c>
      <c r="Q6" s="530" t="s">
        <v>106</v>
      </c>
      <c r="R6" s="530">
        <v>2</v>
      </c>
      <c r="S6" s="531">
        <v>57011</v>
      </c>
      <c r="T6" s="559" t="s">
        <v>558</v>
      </c>
      <c r="U6" s="533" t="s">
        <v>282</v>
      </c>
      <c r="V6" s="531" t="s">
        <v>267</v>
      </c>
      <c r="W6" s="534" t="s">
        <v>299</v>
      </c>
      <c r="X6" s="535" t="s">
        <v>305</v>
      </c>
      <c r="Y6" s="536">
        <v>1</v>
      </c>
      <c r="Z6" s="536">
        <v>0</v>
      </c>
      <c r="AA6" s="536">
        <v>0</v>
      </c>
      <c r="AB6" s="537">
        <v>1</v>
      </c>
      <c r="AC6" s="536">
        <v>1</v>
      </c>
      <c r="AD6" s="536">
        <v>0</v>
      </c>
      <c r="AE6" s="536">
        <v>0</v>
      </c>
      <c r="AF6" s="537">
        <v>1</v>
      </c>
      <c r="AG6" s="536">
        <v>0</v>
      </c>
      <c r="AH6" s="536">
        <v>0</v>
      </c>
      <c r="AI6" s="536">
        <v>0</v>
      </c>
      <c r="AJ6" s="537">
        <v>0</v>
      </c>
      <c r="AK6" s="536">
        <v>0</v>
      </c>
      <c r="AL6" s="536">
        <v>0</v>
      </c>
      <c r="AM6" s="536">
        <v>0</v>
      </c>
      <c r="AN6" s="537">
        <v>0</v>
      </c>
      <c r="AP6" s="388" t="s">
        <v>134</v>
      </c>
      <c r="AQ6" s="389">
        <f>Japanalltestshistlost</f>
        <v>199</v>
      </c>
      <c r="AS6" s="388" t="s">
        <v>134</v>
      </c>
      <c r="AT6" s="389">
        <f>JapanRWChistlost</f>
        <v>23</v>
      </c>
    </row>
    <row r="7" spans="1:46" ht="14.95" customHeight="1" thickBot="1" x14ac:dyDescent="0.3">
      <c r="A7" s="528">
        <v>44863</v>
      </c>
      <c r="B7" s="628" t="s">
        <v>45</v>
      </c>
      <c r="C7" s="529" t="s">
        <v>118</v>
      </c>
      <c r="D7" s="529" t="s">
        <v>471</v>
      </c>
      <c r="E7" s="530" t="s">
        <v>3</v>
      </c>
      <c r="F7" s="530">
        <v>31</v>
      </c>
      <c r="G7" s="530">
        <v>38</v>
      </c>
      <c r="H7" s="530" t="s">
        <v>106</v>
      </c>
      <c r="I7" s="530" t="s">
        <v>106</v>
      </c>
      <c r="J7" s="530">
        <v>4</v>
      </c>
      <c r="K7" s="530">
        <v>4</v>
      </c>
      <c r="L7" s="530">
        <v>0</v>
      </c>
      <c r="M7" s="530">
        <v>1</v>
      </c>
      <c r="N7" s="530">
        <v>0</v>
      </c>
      <c r="O7" s="530">
        <v>0</v>
      </c>
      <c r="P7" s="530" t="s">
        <v>106</v>
      </c>
      <c r="Q7" s="530" t="s">
        <v>106</v>
      </c>
      <c r="R7" s="530">
        <v>5</v>
      </c>
      <c r="S7" s="531">
        <v>65188</v>
      </c>
      <c r="T7" s="532" t="s">
        <v>761</v>
      </c>
      <c r="U7" s="533" t="s">
        <v>284</v>
      </c>
      <c r="V7" s="531" t="s">
        <v>368</v>
      </c>
      <c r="W7" s="534" t="s">
        <v>448</v>
      </c>
      <c r="X7" s="535" t="s">
        <v>451</v>
      </c>
      <c r="Y7" s="536">
        <v>1</v>
      </c>
      <c r="Z7" s="536">
        <v>0</v>
      </c>
      <c r="AA7" s="536">
        <v>0</v>
      </c>
      <c r="AB7" s="537">
        <v>1</v>
      </c>
      <c r="AC7" s="536">
        <v>1</v>
      </c>
      <c r="AD7" s="536">
        <v>0</v>
      </c>
      <c r="AE7" s="536">
        <v>0</v>
      </c>
      <c r="AF7" s="537">
        <v>1</v>
      </c>
      <c r="AG7" s="536">
        <v>0</v>
      </c>
      <c r="AH7" s="536">
        <v>0</v>
      </c>
      <c r="AI7" s="536">
        <v>0</v>
      </c>
      <c r="AJ7" s="537">
        <v>0</v>
      </c>
      <c r="AK7" s="536">
        <v>0</v>
      </c>
      <c r="AL7" s="536">
        <v>0</v>
      </c>
      <c r="AM7" s="536">
        <v>0</v>
      </c>
      <c r="AN7" s="537">
        <v>0</v>
      </c>
      <c r="AP7" s="388" t="s">
        <v>140</v>
      </c>
      <c r="AQ7" s="389">
        <f>Japanalltestshistptsscored</f>
        <v>10337</v>
      </c>
      <c r="AS7" s="388" t="s">
        <v>140</v>
      </c>
      <c r="AT7" s="389">
        <f>JapanRWChistptsscored</f>
        <v>644</v>
      </c>
    </row>
    <row r="8" spans="1:46" ht="14.95" customHeight="1" thickBot="1" x14ac:dyDescent="0.3">
      <c r="A8" s="501">
        <v>44877</v>
      </c>
      <c r="B8" s="516" t="s">
        <v>721</v>
      </c>
      <c r="C8" s="503" t="s">
        <v>30</v>
      </c>
      <c r="D8" s="503" t="s">
        <v>116</v>
      </c>
      <c r="E8" s="504" t="s">
        <v>3</v>
      </c>
      <c r="F8" s="504">
        <v>13</v>
      </c>
      <c r="G8" s="504">
        <v>52</v>
      </c>
      <c r="H8" s="504" t="s">
        <v>106</v>
      </c>
      <c r="I8" s="504" t="s">
        <v>106</v>
      </c>
      <c r="J8" s="504">
        <v>1</v>
      </c>
      <c r="K8" s="504">
        <v>1</v>
      </c>
      <c r="L8" s="504">
        <v>0</v>
      </c>
      <c r="M8" s="504">
        <v>2</v>
      </c>
      <c r="N8" s="504">
        <v>1</v>
      </c>
      <c r="O8" s="504">
        <v>0</v>
      </c>
      <c r="P8" s="504" t="s">
        <v>106</v>
      </c>
      <c r="Q8" s="504" t="s">
        <v>106</v>
      </c>
      <c r="R8" s="504">
        <v>7</v>
      </c>
      <c r="S8" s="511">
        <v>81087</v>
      </c>
      <c r="T8" s="515" t="s">
        <v>341</v>
      </c>
      <c r="U8" s="513" t="s">
        <v>510</v>
      </c>
      <c r="V8" s="511" t="s">
        <v>338</v>
      </c>
      <c r="W8" s="506" t="s">
        <v>268</v>
      </c>
      <c r="X8" s="514" t="s">
        <v>269</v>
      </c>
      <c r="Y8" s="509">
        <v>1</v>
      </c>
      <c r="Z8" s="509">
        <v>0</v>
      </c>
      <c r="AA8" s="509">
        <v>0</v>
      </c>
      <c r="AB8" s="510">
        <v>1</v>
      </c>
      <c r="AC8" s="509">
        <v>0</v>
      </c>
      <c r="AD8" s="509">
        <v>0</v>
      </c>
      <c r="AE8" s="509">
        <v>0</v>
      </c>
      <c r="AF8" s="510">
        <v>0</v>
      </c>
      <c r="AG8" s="509">
        <v>1</v>
      </c>
      <c r="AH8" s="509">
        <v>0</v>
      </c>
      <c r="AI8" s="509">
        <v>0</v>
      </c>
      <c r="AJ8" s="510">
        <v>1</v>
      </c>
      <c r="AK8" s="509">
        <v>0</v>
      </c>
      <c r="AL8" s="509">
        <v>0</v>
      </c>
      <c r="AM8" s="509">
        <v>0</v>
      </c>
      <c r="AN8" s="510">
        <v>0</v>
      </c>
      <c r="AP8" s="388" t="s">
        <v>141</v>
      </c>
      <c r="AQ8" s="389">
        <f>Japanalltestshistptscon</f>
        <v>10299</v>
      </c>
      <c r="AS8" s="388" t="s">
        <v>141</v>
      </c>
      <c r="AT8" s="389">
        <f>JapanRWChistptsagainst</f>
        <v>1347</v>
      </c>
    </row>
    <row r="9" spans="1:46" ht="14.95" customHeight="1" thickBot="1" x14ac:dyDescent="0.3">
      <c r="A9" s="501">
        <v>44884</v>
      </c>
      <c r="B9" s="516" t="s">
        <v>721</v>
      </c>
      <c r="C9" s="503" t="s">
        <v>34</v>
      </c>
      <c r="D9" s="503" t="s">
        <v>750</v>
      </c>
      <c r="E9" s="504" t="s">
        <v>3</v>
      </c>
      <c r="F9" s="504">
        <v>17</v>
      </c>
      <c r="G9" s="504">
        <v>35</v>
      </c>
      <c r="H9" s="504" t="s">
        <v>106</v>
      </c>
      <c r="I9" s="504" t="s">
        <v>106</v>
      </c>
      <c r="J9" s="504">
        <v>2</v>
      </c>
      <c r="K9" s="504">
        <v>2</v>
      </c>
      <c r="L9" s="504">
        <v>0</v>
      </c>
      <c r="M9" s="504">
        <v>1</v>
      </c>
      <c r="N9" s="504">
        <v>0</v>
      </c>
      <c r="O9" s="504">
        <v>0</v>
      </c>
      <c r="P9" s="504" t="s">
        <v>106</v>
      </c>
      <c r="Q9" s="504" t="s">
        <v>106</v>
      </c>
      <c r="R9" s="504">
        <v>4</v>
      </c>
      <c r="S9" s="506">
        <v>32000</v>
      </c>
      <c r="T9" s="515" t="s">
        <v>847</v>
      </c>
      <c r="U9" s="513" t="s">
        <v>313</v>
      </c>
      <c r="V9" s="511" t="s">
        <v>323</v>
      </c>
      <c r="W9" s="506" t="s">
        <v>299</v>
      </c>
      <c r="X9" s="514" t="s">
        <v>305</v>
      </c>
      <c r="Y9" s="509">
        <v>1</v>
      </c>
      <c r="Z9" s="509">
        <v>0</v>
      </c>
      <c r="AA9" s="509">
        <v>0</v>
      </c>
      <c r="AB9" s="510">
        <v>1</v>
      </c>
      <c r="AC9" s="509">
        <v>0</v>
      </c>
      <c r="AD9" s="509">
        <v>0</v>
      </c>
      <c r="AE9" s="509">
        <v>0</v>
      </c>
      <c r="AF9" s="510">
        <v>0</v>
      </c>
      <c r="AG9" s="509">
        <v>1</v>
      </c>
      <c r="AH9" s="509">
        <v>0</v>
      </c>
      <c r="AI9" s="509">
        <v>0</v>
      </c>
      <c r="AJ9" s="510">
        <v>1</v>
      </c>
      <c r="AK9" s="509">
        <v>0</v>
      </c>
      <c r="AL9" s="509">
        <v>0</v>
      </c>
      <c r="AM9" s="509">
        <v>0</v>
      </c>
      <c r="AN9" s="510">
        <v>0</v>
      </c>
      <c r="AP9" s="388" t="s">
        <v>131</v>
      </c>
      <c r="AQ9" s="389">
        <f>Japanalltestshisttriesscoredcorrect</f>
        <v>1406</v>
      </c>
      <c r="AS9" s="388" t="s">
        <v>131</v>
      </c>
      <c r="AT9" s="389">
        <f>JapanRWChisttriesscored</f>
        <v>73</v>
      </c>
    </row>
    <row r="10" spans="1:46" ht="14.95" thickBot="1" x14ac:dyDescent="0.3">
      <c r="A10" s="310"/>
      <c r="B10" s="311"/>
      <c r="C10" s="760" t="s">
        <v>107</v>
      </c>
      <c r="D10" s="761"/>
      <c r="E10" s="762"/>
      <c r="F10" s="449">
        <f t="shared" ref="F10:R10" si="0">SUM(F3:F9)</f>
        <v>176</v>
      </c>
      <c r="G10" s="449">
        <f t="shared" si="0"/>
        <v>209</v>
      </c>
      <c r="H10" s="449">
        <f t="shared" si="0"/>
        <v>0</v>
      </c>
      <c r="I10" s="449">
        <f t="shared" si="0"/>
        <v>0</v>
      </c>
      <c r="J10" s="449">
        <f t="shared" si="0"/>
        <v>22</v>
      </c>
      <c r="K10" s="449">
        <f t="shared" si="0"/>
        <v>14</v>
      </c>
      <c r="L10" s="422">
        <f t="shared" si="0"/>
        <v>0</v>
      </c>
      <c r="M10" s="449">
        <f t="shared" si="0"/>
        <v>12</v>
      </c>
      <c r="N10" s="449">
        <f t="shared" si="0"/>
        <v>3</v>
      </c>
      <c r="O10" s="449">
        <f t="shared" si="0"/>
        <v>0</v>
      </c>
      <c r="P10" s="449">
        <f t="shared" si="0"/>
        <v>0</v>
      </c>
      <c r="Q10" s="422">
        <f t="shared" si="0"/>
        <v>0</v>
      </c>
      <c r="R10" s="449">
        <f t="shared" si="0"/>
        <v>26</v>
      </c>
      <c r="S10" s="579"/>
      <c r="T10" s="579"/>
      <c r="U10" s="579"/>
      <c r="V10" s="579"/>
      <c r="W10" s="447"/>
      <c r="X10" s="447" t="s">
        <v>107</v>
      </c>
      <c r="Y10" s="635">
        <f t="shared" ref="Y10:AN10" si="1">SUM(Y3:Y9)</f>
        <v>7</v>
      </c>
      <c r="Z10" s="635">
        <f t="shared" si="1"/>
        <v>2</v>
      </c>
      <c r="AA10" s="635">
        <f t="shared" si="1"/>
        <v>0</v>
      </c>
      <c r="AB10" s="635">
        <f t="shared" si="1"/>
        <v>5</v>
      </c>
      <c r="AC10" s="636">
        <f t="shared" si="1"/>
        <v>5</v>
      </c>
      <c r="AD10" s="636">
        <f t="shared" si="1"/>
        <v>2</v>
      </c>
      <c r="AE10" s="636">
        <f t="shared" si="1"/>
        <v>0</v>
      </c>
      <c r="AF10" s="636">
        <f t="shared" si="1"/>
        <v>3</v>
      </c>
      <c r="AG10" s="637">
        <f t="shared" si="1"/>
        <v>2</v>
      </c>
      <c r="AH10" s="637">
        <f t="shared" si="1"/>
        <v>0</v>
      </c>
      <c r="AI10" s="637">
        <f t="shared" si="1"/>
        <v>0</v>
      </c>
      <c r="AJ10" s="637">
        <f t="shared" si="1"/>
        <v>2</v>
      </c>
      <c r="AK10" s="638">
        <f t="shared" si="1"/>
        <v>0</v>
      </c>
      <c r="AL10" s="638">
        <f t="shared" si="1"/>
        <v>0</v>
      </c>
      <c r="AM10" s="638">
        <f t="shared" si="1"/>
        <v>0</v>
      </c>
      <c r="AN10" s="638">
        <f t="shared" si="1"/>
        <v>0</v>
      </c>
    </row>
    <row r="11" spans="1:46" x14ac:dyDescent="0.25">
      <c r="A11" s="788" t="s">
        <v>464</v>
      </c>
      <c r="B11" s="743"/>
      <c r="C11" s="743"/>
      <c r="D11" s="743"/>
      <c r="E11" s="743"/>
      <c r="F11" s="743"/>
      <c r="G11" s="743"/>
      <c r="H11" s="743"/>
      <c r="I11" s="743"/>
      <c r="J11" s="743"/>
      <c r="K11" s="743"/>
      <c r="L11" s="743"/>
      <c r="M11" s="743"/>
      <c r="N11" s="743"/>
      <c r="O11" s="743"/>
      <c r="P11" s="743"/>
      <c r="Q11" s="743"/>
      <c r="R11" s="743"/>
      <c r="S11" s="499"/>
      <c r="T11" s="499"/>
      <c r="U11" s="499"/>
      <c r="V11" s="499"/>
      <c r="W11" s="499"/>
      <c r="X11" s="499"/>
      <c r="Y11" s="499"/>
      <c r="Z11" s="499"/>
      <c r="AA11" s="499"/>
      <c r="AB11" s="499"/>
      <c r="AC11" s="499"/>
      <c r="AD11" s="499"/>
      <c r="AE11" s="499"/>
      <c r="AF11" s="499"/>
      <c r="AG11" s="499"/>
      <c r="AH11" s="499"/>
      <c r="AI11" s="499"/>
      <c r="AJ11" s="499"/>
      <c r="AK11" s="499"/>
      <c r="AL11" s="499"/>
      <c r="AM11" s="499"/>
      <c r="AN11" s="499"/>
    </row>
    <row r="12" spans="1:46" x14ac:dyDescent="0.25">
      <c r="A12" t="s">
        <v>733</v>
      </c>
      <c r="L12" s="14"/>
      <c r="M12" s="14"/>
      <c r="N12" s="14"/>
      <c r="O12" s="14"/>
      <c r="P12" s="14"/>
      <c r="Q12" s="14"/>
      <c r="R12" s="14"/>
    </row>
    <row r="13" spans="1:46" x14ac:dyDescent="0.25">
      <c r="A13" t="s">
        <v>751</v>
      </c>
      <c r="L13" s="14"/>
      <c r="M13" s="14"/>
      <c r="N13" s="14"/>
      <c r="O13" s="14"/>
      <c r="P13" s="14"/>
      <c r="Q13" s="14"/>
      <c r="R13" s="14"/>
    </row>
    <row r="14" spans="1:46" x14ac:dyDescent="0.25">
      <c r="A14" t="s">
        <v>753</v>
      </c>
      <c r="L14" s="14"/>
      <c r="M14" s="14"/>
      <c r="N14" s="14"/>
      <c r="O14" s="14"/>
      <c r="P14" s="14"/>
      <c r="Q14" s="14"/>
      <c r="R14" s="14"/>
    </row>
    <row r="15" spans="1:46" x14ac:dyDescent="0.25">
      <c r="A15" t="s">
        <v>466</v>
      </c>
    </row>
    <row r="16" spans="1:46" x14ac:dyDescent="0.25">
      <c r="A16" s="155"/>
      <c r="B16" t="s">
        <v>44</v>
      </c>
    </row>
    <row r="17" spans="1:2" x14ac:dyDescent="0.25">
      <c r="A17" s="153"/>
      <c r="B17" t="s">
        <v>42</v>
      </c>
    </row>
    <row r="18" spans="1:2" x14ac:dyDescent="0.25">
      <c r="A18" s="154"/>
      <c r="B18" t="s">
        <v>43</v>
      </c>
    </row>
    <row r="19" spans="1:2" x14ac:dyDescent="0.25">
      <c r="A19" s="15" t="s">
        <v>28</v>
      </c>
    </row>
  </sheetData>
  <mergeCells count="12">
    <mergeCell ref="A11:R11"/>
    <mergeCell ref="N1:O1"/>
    <mergeCell ref="Y1:AB1"/>
    <mergeCell ref="AC1:AF1"/>
    <mergeCell ref="AG1:AJ1"/>
    <mergeCell ref="AK1:AN1"/>
    <mergeCell ref="P1:R1"/>
    <mergeCell ref="C10:E10"/>
    <mergeCell ref="A1:C1"/>
    <mergeCell ref="E1:G1"/>
    <mergeCell ref="H1:I1"/>
    <mergeCell ref="J1:M1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T16"/>
  <sheetViews>
    <sheetView workbookViewId="0">
      <selection activeCell="U6" sqref="U6"/>
    </sheetView>
  </sheetViews>
  <sheetFormatPr defaultRowHeight="14.3" x14ac:dyDescent="0.25"/>
  <cols>
    <col min="1" max="1" width="7.5" customWidth="1"/>
    <col min="2" max="2" width="4.5" bestFit="1" customWidth="1"/>
    <col min="3" max="3" width="11.5" customWidth="1"/>
    <col min="4" max="4" width="4.625" customWidth="1"/>
    <col min="5" max="5" width="3.625" customWidth="1"/>
    <col min="6" max="6" width="4" bestFit="1" customWidth="1"/>
    <col min="7" max="18" width="3.625" customWidth="1"/>
    <col min="19" max="20" width="6.375" customWidth="1"/>
    <col min="21" max="24" width="25.875" customWidth="1"/>
    <col min="25" max="40" width="3.625" customWidth="1"/>
    <col min="42" max="42" width="13.125" bestFit="1" customWidth="1"/>
    <col min="45" max="45" width="13.125" bestFit="1" customWidth="1"/>
  </cols>
  <sheetData>
    <row r="1" spans="1:46" ht="14.95" thickBot="1" x14ac:dyDescent="0.3">
      <c r="A1" s="883" t="s">
        <v>207</v>
      </c>
      <c r="B1" s="884"/>
      <c r="C1" s="884"/>
      <c r="D1" s="291"/>
      <c r="E1" s="885" t="s">
        <v>24</v>
      </c>
      <c r="F1" s="886"/>
      <c r="G1" s="887"/>
      <c r="H1" s="885" t="s">
        <v>23</v>
      </c>
      <c r="I1" s="887"/>
      <c r="J1" s="880" t="s">
        <v>6</v>
      </c>
      <c r="K1" s="881"/>
      <c r="L1" s="881"/>
      <c r="M1" s="882"/>
      <c r="N1" s="880" t="s">
        <v>7</v>
      </c>
      <c r="O1" s="882"/>
      <c r="P1" s="880" t="s">
        <v>25</v>
      </c>
      <c r="Q1" s="881"/>
      <c r="R1" s="882"/>
      <c r="S1" s="292" t="s">
        <v>8</v>
      </c>
      <c r="T1" s="292" t="s">
        <v>9</v>
      </c>
      <c r="U1" s="293" t="s">
        <v>10</v>
      </c>
      <c r="V1" s="292" t="s">
        <v>11</v>
      </c>
      <c r="W1" s="294" t="s">
        <v>26</v>
      </c>
      <c r="X1" s="295" t="s">
        <v>27</v>
      </c>
      <c r="Y1" s="879" t="s">
        <v>20</v>
      </c>
      <c r="Z1" s="753"/>
      <c r="AA1" s="753"/>
      <c r="AB1" s="754"/>
      <c r="AC1" s="879" t="s">
        <v>61</v>
      </c>
      <c r="AD1" s="753"/>
      <c r="AE1" s="753"/>
      <c r="AF1" s="754"/>
      <c r="AG1" s="879" t="s">
        <v>62</v>
      </c>
      <c r="AH1" s="753"/>
      <c r="AI1" s="753"/>
      <c r="AJ1" s="754"/>
      <c r="AK1" s="879" t="s">
        <v>63</v>
      </c>
      <c r="AL1" s="753"/>
      <c r="AM1" s="753"/>
      <c r="AN1" s="754"/>
      <c r="AP1" s="408" t="s">
        <v>152</v>
      </c>
      <c r="AQ1" s="397"/>
      <c r="AR1" s="397"/>
      <c r="AS1" s="408" t="s">
        <v>152</v>
      </c>
    </row>
    <row r="2" spans="1:46" ht="14.95" customHeight="1" thickBot="1" x14ac:dyDescent="0.3">
      <c r="A2" s="296" t="s">
        <v>19</v>
      </c>
      <c r="B2" s="297" t="s">
        <v>18</v>
      </c>
      <c r="C2" s="298" t="s">
        <v>17</v>
      </c>
      <c r="D2" s="299" t="s">
        <v>41</v>
      </c>
      <c r="E2" s="299" t="s">
        <v>16</v>
      </c>
      <c r="F2" s="299" t="s">
        <v>4</v>
      </c>
      <c r="G2" s="299" t="s">
        <v>5</v>
      </c>
      <c r="H2" s="300" t="s">
        <v>12</v>
      </c>
      <c r="I2" s="300" t="s">
        <v>3</v>
      </c>
      <c r="J2" s="300" t="s">
        <v>12</v>
      </c>
      <c r="K2" s="300" t="s">
        <v>13</v>
      </c>
      <c r="L2" s="300" t="s">
        <v>2</v>
      </c>
      <c r="M2" s="300" t="s">
        <v>14</v>
      </c>
      <c r="N2" s="300" t="s">
        <v>15</v>
      </c>
      <c r="O2" s="300" t="s">
        <v>16</v>
      </c>
      <c r="P2" s="300" t="s">
        <v>21</v>
      </c>
      <c r="Q2" s="300" t="s">
        <v>22</v>
      </c>
      <c r="R2" s="300" t="s">
        <v>12</v>
      </c>
      <c r="S2" s="301"/>
      <c r="T2" s="302"/>
      <c r="U2" s="303"/>
      <c r="V2" s="301"/>
      <c r="W2" s="304"/>
      <c r="X2" s="305"/>
      <c r="Y2" s="431" t="s">
        <v>0</v>
      </c>
      <c r="Z2" s="431" t="s">
        <v>1</v>
      </c>
      <c r="AA2" s="431" t="s">
        <v>2</v>
      </c>
      <c r="AB2" s="431" t="s">
        <v>3</v>
      </c>
      <c r="AC2" s="431" t="s">
        <v>0</v>
      </c>
      <c r="AD2" s="431" t="s">
        <v>1</v>
      </c>
      <c r="AE2" s="431" t="s">
        <v>2</v>
      </c>
      <c r="AF2" s="431" t="s">
        <v>3</v>
      </c>
      <c r="AG2" s="431" t="s">
        <v>0</v>
      </c>
      <c r="AH2" s="431" t="s">
        <v>1</v>
      </c>
      <c r="AI2" s="431" t="s">
        <v>2</v>
      </c>
      <c r="AJ2" s="431" t="s">
        <v>3</v>
      </c>
      <c r="AK2" s="431" t="s">
        <v>0</v>
      </c>
      <c r="AL2" s="431" t="s">
        <v>1</v>
      </c>
      <c r="AM2" s="431" t="s">
        <v>2</v>
      </c>
      <c r="AN2" s="431" t="s">
        <v>3</v>
      </c>
      <c r="AP2" s="367" t="s">
        <v>107</v>
      </c>
      <c r="AQ2" s="204" t="s">
        <v>166</v>
      </c>
      <c r="AS2" s="368" t="s">
        <v>130</v>
      </c>
      <c r="AT2" s="204" t="s">
        <v>166</v>
      </c>
    </row>
    <row r="3" spans="1:46" ht="14.95" customHeight="1" thickBot="1" x14ac:dyDescent="0.35">
      <c r="A3" s="582">
        <v>44743</v>
      </c>
      <c r="B3" s="583" t="s">
        <v>767</v>
      </c>
      <c r="C3" s="583" t="s">
        <v>475</v>
      </c>
      <c r="D3" s="583" t="s">
        <v>476</v>
      </c>
      <c r="E3" s="566" t="s">
        <v>1</v>
      </c>
      <c r="F3" s="566">
        <v>71</v>
      </c>
      <c r="G3" s="566">
        <v>5</v>
      </c>
      <c r="H3" s="566" t="s">
        <v>106</v>
      </c>
      <c r="I3" s="566" t="s">
        <v>106</v>
      </c>
      <c r="J3" s="566">
        <v>11</v>
      </c>
      <c r="K3" s="566">
        <v>8</v>
      </c>
      <c r="L3" s="566">
        <v>0</v>
      </c>
      <c r="M3" s="566">
        <v>0</v>
      </c>
      <c r="N3" s="566">
        <v>0</v>
      </c>
      <c r="O3" s="566">
        <v>0</v>
      </c>
      <c r="P3" s="566" t="s">
        <v>106</v>
      </c>
      <c r="Q3" s="566" t="s">
        <v>106</v>
      </c>
      <c r="R3" s="566">
        <v>1</v>
      </c>
      <c r="S3" s="584"/>
      <c r="T3" s="587" t="s">
        <v>478</v>
      </c>
      <c r="U3" s="579" t="s">
        <v>479</v>
      </c>
      <c r="V3" s="584" t="s">
        <v>277</v>
      </c>
      <c r="W3" s="585" t="s">
        <v>480</v>
      </c>
      <c r="X3" s="586" t="s">
        <v>481</v>
      </c>
      <c r="Y3" s="447">
        <v>1</v>
      </c>
      <c r="Z3" s="447">
        <v>1</v>
      </c>
      <c r="AA3" s="447">
        <v>0</v>
      </c>
      <c r="AB3" s="567">
        <v>0</v>
      </c>
      <c r="AC3" s="447">
        <v>0</v>
      </c>
      <c r="AD3" s="447">
        <v>0</v>
      </c>
      <c r="AE3" s="447">
        <v>0</v>
      </c>
      <c r="AF3" s="567">
        <v>0</v>
      </c>
      <c r="AG3" s="447">
        <v>0</v>
      </c>
      <c r="AH3" s="447">
        <v>0</v>
      </c>
      <c r="AI3" s="447">
        <v>0</v>
      </c>
      <c r="AJ3" s="567">
        <v>0</v>
      </c>
      <c r="AK3" s="447">
        <v>1</v>
      </c>
      <c r="AL3" s="447">
        <v>1</v>
      </c>
      <c r="AM3" s="447">
        <v>0</v>
      </c>
      <c r="AN3" s="567">
        <v>0</v>
      </c>
      <c r="AP3" s="386" t="s">
        <v>132</v>
      </c>
      <c r="AQ3" s="387">
        <f>Namibiaalltestshistplayed</f>
        <v>166</v>
      </c>
      <c r="AS3" s="386" t="s">
        <v>132</v>
      </c>
      <c r="AT3" s="387">
        <f>NamibiaRWChistplayed</f>
        <v>23</v>
      </c>
    </row>
    <row r="4" spans="1:46" ht="17" thickBot="1" x14ac:dyDescent="0.35">
      <c r="A4" s="582">
        <v>44748</v>
      </c>
      <c r="B4" s="583" t="s">
        <v>768</v>
      </c>
      <c r="C4" s="583" t="s">
        <v>157</v>
      </c>
      <c r="D4" s="583" t="s">
        <v>531</v>
      </c>
      <c r="E4" s="566" t="s">
        <v>1</v>
      </c>
      <c r="F4" s="566">
        <v>34</v>
      </c>
      <c r="G4" s="566">
        <v>19</v>
      </c>
      <c r="H4" s="566" t="s">
        <v>106</v>
      </c>
      <c r="I4" s="566" t="s">
        <v>106</v>
      </c>
      <c r="J4" s="566">
        <v>5</v>
      </c>
      <c r="K4" s="566">
        <v>2</v>
      </c>
      <c r="L4" s="566">
        <v>0</v>
      </c>
      <c r="M4" s="566">
        <v>1</v>
      </c>
      <c r="N4" s="566">
        <v>1</v>
      </c>
      <c r="O4" s="566">
        <v>0</v>
      </c>
      <c r="P4" s="566" t="s">
        <v>106</v>
      </c>
      <c r="Q4" s="566" t="s">
        <v>106</v>
      </c>
      <c r="R4" s="566">
        <v>3</v>
      </c>
      <c r="S4" s="584"/>
      <c r="T4" s="587" t="s">
        <v>388</v>
      </c>
      <c r="U4" s="585" t="s">
        <v>278</v>
      </c>
      <c r="V4" s="584" t="s">
        <v>534</v>
      </c>
      <c r="W4" s="579" t="s">
        <v>535</v>
      </c>
      <c r="X4" s="586" t="s">
        <v>536</v>
      </c>
      <c r="Y4" s="447">
        <v>1</v>
      </c>
      <c r="Z4" s="447">
        <v>1</v>
      </c>
      <c r="AA4" s="447">
        <v>0</v>
      </c>
      <c r="AB4" s="567">
        <v>0</v>
      </c>
      <c r="AC4" s="447">
        <v>0</v>
      </c>
      <c r="AD4" s="447">
        <v>0</v>
      </c>
      <c r="AE4" s="447">
        <v>0</v>
      </c>
      <c r="AF4" s="567">
        <v>0</v>
      </c>
      <c r="AG4" s="447">
        <v>0</v>
      </c>
      <c r="AH4" s="447">
        <v>0</v>
      </c>
      <c r="AI4" s="447">
        <v>0</v>
      </c>
      <c r="AJ4" s="567">
        <v>0</v>
      </c>
      <c r="AK4" s="447">
        <v>1</v>
      </c>
      <c r="AL4" s="447">
        <v>1</v>
      </c>
      <c r="AM4" s="447">
        <v>0</v>
      </c>
      <c r="AN4" s="567">
        <v>0</v>
      </c>
      <c r="AP4" s="388" t="s">
        <v>133</v>
      </c>
      <c r="AQ4" s="389">
        <f>Namibiaalltestshistwon</f>
        <v>96</v>
      </c>
      <c r="AS4" s="388" t="s">
        <v>133</v>
      </c>
      <c r="AT4" s="389">
        <f>NamibiaRWChistwon</f>
        <v>0</v>
      </c>
    </row>
    <row r="5" spans="1:46" ht="17" thickBot="1" x14ac:dyDescent="0.35">
      <c r="A5" s="582">
        <v>44752</v>
      </c>
      <c r="B5" s="583" t="s">
        <v>555</v>
      </c>
      <c r="C5" s="583" t="s">
        <v>485</v>
      </c>
      <c r="D5" s="583" t="s">
        <v>531</v>
      </c>
      <c r="E5" s="566" t="s">
        <v>1</v>
      </c>
      <c r="F5" s="566">
        <v>36</v>
      </c>
      <c r="G5" s="566">
        <v>0</v>
      </c>
      <c r="H5" s="566" t="s">
        <v>106</v>
      </c>
      <c r="I5" s="566" t="s">
        <v>106</v>
      </c>
      <c r="J5" s="566">
        <v>4</v>
      </c>
      <c r="K5" s="566">
        <v>2</v>
      </c>
      <c r="L5" s="566">
        <v>0</v>
      </c>
      <c r="M5" s="566">
        <v>4</v>
      </c>
      <c r="N5" s="566">
        <v>0</v>
      </c>
      <c r="O5" s="566">
        <v>0</v>
      </c>
      <c r="P5" s="566" t="s">
        <v>548</v>
      </c>
      <c r="Q5" s="566" t="s">
        <v>106</v>
      </c>
      <c r="R5" s="566">
        <v>0</v>
      </c>
      <c r="S5" s="584"/>
      <c r="T5" s="587" t="s">
        <v>556</v>
      </c>
      <c r="U5" s="585" t="s">
        <v>278</v>
      </c>
      <c r="V5" s="584" t="s">
        <v>534</v>
      </c>
      <c r="W5" s="585" t="s">
        <v>557</v>
      </c>
      <c r="X5" s="579" t="s">
        <v>374</v>
      </c>
      <c r="Y5" s="447">
        <v>1</v>
      </c>
      <c r="Z5" s="447">
        <v>1</v>
      </c>
      <c r="AA5" s="447">
        <v>0</v>
      </c>
      <c r="AB5" s="567">
        <v>0</v>
      </c>
      <c r="AC5" s="447">
        <v>0</v>
      </c>
      <c r="AD5" s="447">
        <v>0</v>
      </c>
      <c r="AE5" s="447">
        <v>0</v>
      </c>
      <c r="AF5" s="567">
        <v>0</v>
      </c>
      <c r="AG5" s="447">
        <v>0</v>
      </c>
      <c r="AH5" s="447">
        <v>0</v>
      </c>
      <c r="AI5" s="447">
        <v>0</v>
      </c>
      <c r="AJ5" s="567">
        <v>0</v>
      </c>
      <c r="AK5" s="447">
        <v>1</v>
      </c>
      <c r="AL5" s="447">
        <v>1</v>
      </c>
      <c r="AM5" s="447">
        <v>0</v>
      </c>
      <c r="AN5" s="567">
        <v>0</v>
      </c>
      <c r="AP5" s="388" t="s">
        <v>139</v>
      </c>
      <c r="AQ5" s="389">
        <f>Namibiaalltestshistdrawn</f>
        <v>2</v>
      </c>
      <c r="AS5" s="388" t="s">
        <v>139</v>
      </c>
      <c r="AT5" s="389">
        <f>NamibiaRWChistdrawn</f>
        <v>0</v>
      </c>
    </row>
    <row r="6" spans="1:46" ht="14.95" thickBot="1" x14ac:dyDescent="0.3">
      <c r="A6" s="518">
        <v>44877</v>
      </c>
      <c r="B6" s="517" t="s">
        <v>45</v>
      </c>
      <c r="C6" s="517" t="s">
        <v>124</v>
      </c>
      <c r="D6" s="517" t="s">
        <v>227</v>
      </c>
      <c r="E6" s="504" t="s">
        <v>3</v>
      </c>
      <c r="F6" s="504">
        <v>15</v>
      </c>
      <c r="G6" s="504">
        <v>34</v>
      </c>
      <c r="H6" s="504" t="s">
        <v>106</v>
      </c>
      <c r="I6" s="504" t="s">
        <v>106</v>
      </c>
      <c r="J6" s="504">
        <v>2</v>
      </c>
      <c r="K6" s="504">
        <v>1</v>
      </c>
      <c r="L6" s="504">
        <v>0</v>
      </c>
      <c r="M6" s="504">
        <v>1</v>
      </c>
      <c r="N6" s="504">
        <v>4</v>
      </c>
      <c r="O6" s="504">
        <v>1</v>
      </c>
      <c r="P6" s="504" t="s">
        <v>106</v>
      </c>
      <c r="Q6" s="504" t="s">
        <v>106</v>
      </c>
      <c r="R6" s="504">
        <v>5</v>
      </c>
      <c r="S6" s="511"/>
      <c r="T6" s="515" t="s">
        <v>676</v>
      </c>
      <c r="U6" s="513" t="s">
        <v>565</v>
      </c>
      <c r="V6" s="511" t="s">
        <v>358</v>
      </c>
      <c r="W6" s="513" t="s">
        <v>621</v>
      </c>
      <c r="X6" s="506" t="s">
        <v>805</v>
      </c>
      <c r="Y6" s="509">
        <v>1</v>
      </c>
      <c r="Z6" s="509">
        <v>0</v>
      </c>
      <c r="AA6" s="509">
        <v>0</v>
      </c>
      <c r="AB6" s="510">
        <v>1</v>
      </c>
      <c r="AC6" s="509">
        <v>0</v>
      </c>
      <c r="AD6" s="509">
        <v>0</v>
      </c>
      <c r="AE6" s="509">
        <v>0</v>
      </c>
      <c r="AF6" s="510">
        <v>0</v>
      </c>
      <c r="AG6" s="509">
        <v>1</v>
      </c>
      <c r="AH6" s="509">
        <v>0</v>
      </c>
      <c r="AI6" s="509">
        <v>0</v>
      </c>
      <c r="AJ6" s="510">
        <v>1</v>
      </c>
      <c r="AK6" s="509">
        <v>0</v>
      </c>
      <c r="AL6" s="509">
        <v>0</v>
      </c>
      <c r="AM6" s="509">
        <v>0</v>
      </c>
      <c r="AN6" s="510">
        <v>0</v>
      </c>
      <c r="AP6" s="388" t="s">
        <v>134</v>
      </c>
      <c r="AQ6" s="389">
        <f>Namibiaalltestshistlost</f>
        <v>68</v>
      </c>
      <c r="AS6" s="388" t="s">
        <v>134</v>
      </c>
      <c r="AT6" s="389">
        <f>NamibiaRWChistlost</f>
        <v>22</v>
      </c>
    </row>
    <row r="7" spans="1:46" ht="14.95" customHeight="1" thickBot="1" x14ac:dyDescent="0.3">
      <c r="A7" s="619">
        <v>44884</v>
      </c>
      <c r="B7" s="620" t="s">
        <v>45</v>
      </c>
      <c r="C7" s="620" t="s">
        <v>40</v>
      </c>
      <c r="D7" s="620" t="s">
        <v>196</v>
      </c>
      <c r="E7" s="449" t="s">
        <v>1</v>
      </c>
      <c r="F7" s="566">
        <v>43</v>
      </c>
      <c r="G7" s="566">
        <v>37</v>
      </c>
      <c r="H7" s="566" t="s">
        <v>106</v>
      </c>
      <c r="I7" s="566" t="s">
        <v>106</v>
      </c>
      <c r="J7" s="566">
        <v>7</v>
      </c>
      <c r="K7" s="566">
        <v>4</v>
      </c>
      <c r="L7" s="566">
        <v>0</v>
      </c>
      <c r="M7" s="566">
        <v>0</v>
      </c>
      <c r="N7" s="566">
        <v>0</v>
      </c>
      <c r="O7" s="566">
        <v>0</v>
      </c>
      <c r="P7" s="566" t="s">
        <v>106</v>
      </c>
      <c r="Q7" s="566" t="s">
        <v>106</v>
      </c>
      <c r="R7" s="566">
        <v>4</v>
      </c>
      <c r="S7" s="579"/>
      <c r="T7" s="724" t="s">
        <v>869</v>
      </c>
      <c r="U7" s="579" t="s">
        <v>448</v>
      </c>
      <c r="V7" s="579" t="s">
        <v>534</v>
      </c>
      <c r="W7" s="579" t="s">
        <v>278</v>
      </c>
      <c r="X7" s="579" t="s">
        <v>802</v>
      </c>
      <c r="Y7" s="567">
        <v>1</v>
      </c>
      <c r="Z7" s="567">
        <v>1</v>
      </c>
      <c r="AA7" s="567">
        <v>0</v>
      </c>
      <c r="AB7" s="567">
        <v>0</v>
      </c>
      <c r="AC7" s="567">
        <v>0</v>
      </c>
      <c r="AD7" s="567">
        <v>0</v>
      </c>
      <c r="AE7" s="567">
        <v>0</v>
      </c>
      <c r="AF7" s="567">
        <v>0</v>
      </c>
      <c r="AG7" s="567">
        <v>0</v>
      </c>
      <c r="AH7" s="567">
        <v>0</v>
      </c>
      <c r="AI7" s="567">
        <v>0</v>
      </c>
      <c r="AJ7" s="567">
        <v>0</v>
      </c>
      <c r="AK7" s="567">
        <v>1</v>
      </c>
      <c r="AL7" s="567">
        <v>1</v>
      </c>
      <c r="AM7" s="567">
        <v>0</v>
      </c>
      <c r="AN7" s="567">
        <v>0</v>
      </c>
      <c r="AP7" s="388" t="s">
        <v>140</v>
      </c>
      <c r="AQ7" s="389">
        <f>Namibiaalltestshistptsscored</f>
        <v>5218</v>
      </c>
      <c r="AS7" s="388" t="s">
        <v>140</v>
      </c>
      <c r="AT7" s="389">
        <f>NamibiaRWChistptsscored</f>
        <v>248</v>
      </c>
    </row>
    <row r="8" spans="1:46" ht="14.95" customHeight="1" thickBot="1" x14ac:dyDescent="0.3">
      <c r="A8" s="310"/>
      <c r="B8" s="311"/>
      <c r="C8" s="760" t="s">
        <v>107</v>
      </c>
      <c r="D8" s="761"/>
      <c r="E8" s="762"/>
      <c r="F8" s="422">
        <f>SUM(F3:F7)</f>
        <v>199</v>
      </c>
      <c r="G8" s="422">
        <f>SUM(G3:G7)</f>
        <v>95</v>
      </c>
      <c r="H8" s="422">
        <f t="shared" ref="H8:Q8" si="0">SUM(H3:H6)</f>
        <v>0</v>
      </c>
      <c r="I8" s="422">
        <f t="shared" si="0"/>
        <v>0</v>
      </c>
      <c r="J8" s="422">
        <f t="shared" ref="J8:O8" si="1">SUM(J3:J7)</f>
        <v>29</v>
      </c>
      <c r="K8" s="422">
        <f t="shared" si="1"/>
        <v>17</v>
      </c>
      <c r="L8" s="422">
        <f t="shared" si="1"/>
        <v>0</v>
      </c>
      <c r="M8" s="422">
        <f t="shared" si="1"/>
        <v>6</v>
      </c>
      <c r="N8" s="422">
        <f t="shared" si="1"/>
        <v>5</v>
      </c>
      <c r="O8" s="422">
        <f t="shared" si="1"/>
        <v>1</v>
      </c>
      <c r="P8" s="422">
        <f t="shared" si="0"/>
        <v>0</v>
      </c>
      <c r="Q8" s="422">
        <f t="shared" si="0"/>
        <v>0</v>
      </c>
      <c r="R8" s="422">
        <f>SUM(R3:R7)</f>
        <v>13</v>
      </c>
      <c r="S8" s="419"/>
      <c r="T8" s="419"/>
      <c r="U8" s="419"/>
      <c r="V8" s="419"/>
      <c r="W8" s="13"/>
      <c r="X8" s="447" t="s">
        <v>107</v>
      </c>
      <c r="Y8" s="422">
        <f t="shared" ref="Y8:AN8" si="2">SUM(Y3:Y7)</f>
        <v>5</v>
      </c>
      <c r="Z8" s="422">
        <f t="shared" si="2"/>
        <v>4</v>
      </c>
      <c r="AA8" s="422">
        <f t="shared" si="2"/>
        <v>0</v>
      </c>
      <c r="AB8" s="422">
        <f t="shared" si="2"/>
        <v>1</v>
      </c>
      <c r="AC8" s="420">
        <f t="shared" si="2"/>
        <v>0</v>
      </c>
      <c r="AD8" s="420">
        <f t="shared" si="2"/>
        <v>0</v>
      </c>
      <c r="AE8" s="420">
        <f t="shared" si="2"/>
        <v>0</v>
      </c>
      <c r="AF8" s="420">
        <f t="shared" si="2"/>
        <v>0</v>
      </c>
      <c r="AG8" s="421">
        <f t="shared" si="2"/>
        <v>1</v>
      </c>
      <c r="AH8" s="421">
        <f t="shared" si="2"/>
        <v>0</v>
      </c>
      <c r="AI8" s="421">
        <f t="shared" si="2"/>
        <v>0</v>
      </c>
      <c r="AJ8" s="421">
        <f t="shared" si="2"/>
        <v>1</v>
      </c>
      <c r="AK8" s="635">
        <f t="shared" si="2"/>
        <v>4</v>
      </c>
      <c r="AL8" s="635">
        <f t="shared" si="2"/>
        <v>4</v>
      </c>
      <c r="AM8" s="635">
        <f t="shared" si="2"/>
        <v>0</v>
      </c>
      <c r="AN8" s="635">
        <f t="shared" si="2"/>
        <v>0</v>
      </c>
      <c r="AP8" s="388" t="s">
        <v>141</v>
      </c>
      <c r="AQ8" s="389">
        <f>Namibiaalltestshistptscon</f>
        <v>4289</v>
      </c>
      <c r="AS8" s="388" t="s">
        <v>141</v>
      </c>
      <c r="AT8" s="389">
        <f>NamibiaRWChistptsagainst</f>
        <v>1323</v>
      </c>
    </row>
    <row r="9" spans="1:46" ht="14.95" customHeight="1" thickBot="1" x14ac:dyDescent="0.3">
      <c r="A9" s="788" t="s">
        <v>532</v>
      </c>
      <c r="B9" s="743"/>
      <c r="C9" s="743"/>
      <c r="D9" s="743"/>
      <c r="E9" s="743"/>
      <c r="F9" s="743"/>
      <c r="G9" s="743"/>
      <c r="H9" s="743"/>
      <c r="I9" s="743"/>
      <c r="J9" s="743"/>
      <c r="K9" s="743"/>
      <c r="L9" s="743"/>
      <c r="M9" s="743"/>
      <c r="N9" s="743"/>
      <c r="O9" s="743"/>
      <c r="P9" s="743"/>
      <c r="Q9" s="743"/>
      <c r="R9" s="743"/>
      <c r="S9" s="743"/>
      <c r="T9" s="743"/>
      <c r="U9" s="743"/>
      <c r="V9" s="743"/>
      <c r="W9" s="743"/>
      <c r="X9" s="743"/>
      <c r="Y9" s="743"/>
      <c r="Z9" s="743"/>
      <c r="AA9" s="743"/>
      <c r="AB9" s="743"/>
      <c r="AC9" s="743"/>
      <c r="AD9" s="743"/>
      <c r="AE9" s="743"/>
      <c r="AF9" s="743"/>
      <c r="AG9" s="743"/>
      <c r="AH9" s="743"/>
      <c r="AI9" s="743"/>
      <c r="AJ9" s="743"/>
      <c r="AK9" s="743"/>
      <c r="AL9" s="743"/>
      <c r="AM9" s="743"/>
      <c r="AN9" s="743"/>
      <c r="AP9" s="388" t="s">
        <v>131</v>
      </c>
      <c r="AQ9" s="389">
        <f>Namibiaalltestshisttriesscored</f>
        <v>703</v>
      </c>
      <c r="AS9" s="388" t="s">
        <v>131</v>
      </c>
      <c r="AT9" s="389">
        <f>NamibiaRWChisttriesscored</f>
        <v>27</v>
      </c>
    </row>
    <row r="10" spans="1:46" ht="14.95" customHeight="1" x14ac:dyDescent="0.25">
      <c r="A10" s="788" t="s">
        <v>739</v>
      </c>
      <c r="B10" s="743"/>
      <c r="C10" s="743"/>
      <c r="D10" s="743"/>
      <c r="E10" s="743"/>
      <c r="F10" s="743"/>
      <c r="G10" s="743"/>
      <c r="H10" s="743"/>
      <c r="I10" s="743"/>
      <c r="J10" s="743"/>
      <c r="K10" s="743"/>
      <c r="L10" s="743"/>
      <c r="M10" s="743"/>
      <c r="N10" s="743"/>
      <c r="O10" s="743"/>
      <c r="P10" s="743"/>
      <c r="Q10" s="743"/>
      <c r="R10" s="743"/>
      <c r="S10" s="743"/>
      <c r="T10" s="743"/>
      <c r="U10" s="743"/>
      <c r="V10" s="743"/>
      <c r="W10" s="743"/>
      <c r="X10" s="743"/>
      <c r="Y10" s="743"/>
      <c r="Z10" s="743"/>
      <c r="AA10" s="743"/>
      <c r="AB10" s="743"/>
      <c r="AC10" s="743"/>
      <c r="AD10" s="743"/>
      <c r="AE10" s="743"/>
      <c r="AF10" s="743"/>
      <c r="AG10" s="743"/>
      <c r="AH10" s="743"/>
      <c r="AI10" s="743"/>
      <c r="AJ10" s="743"/>
      <c r="AK10" s="743"/>
      <c r="AL10" s="743"/>
      <c r="AM10" s="743"/>
      <c r="AN10" s="743"/>
    </row>
    <row r="11" spans="1:46" ht="14.95" customHeight="1" x14ac:dyDescent="0.25">
      <c r="A11" s="788" t="s">
        <v>477</v>
      </c>
      <c r="B11" s="743"/>
      <c r="C11" s="743"/>
      <c r="D11" s="743"/>
      <c r="E11" s="743"/>
      <c r="F11" s="743"/>
      <c r="G11" s="743"/>
      <c r="H11" s="743"/>
      <c r="I11" s="743"/>
      <c r="J11" s="743"/>
      <c r="K11" s="743"/>
      <c r="L11" s="743"/>
      <c r="M11" s="743"/>
      <c r="N11" s="743"/>
      <c r="O11" s="743"/>
      <c r="P11" s="743"/>
      <c r="Q11" s="743"/>
      <c r="R11" s="743"/>
      <c r="S11" s="407"/>
      <c r="T11" s="407"/>
    </row>
    <row r="12" spans="1:46" ht="14.95" customHeight="1" x14ac:dyDescent="0.25">
      <c r="A12" s="788" t="s">
        <v>533</v>
      </c>
      <c r="B12" s="743"/>
      <c r="C12" s="743"/>
      <c r="D12" s="743"/>
      <c r="E12" s="743"/>
      <c r="F12" s="743"/>
      <c r="G12" s="743"/>
      <c r="H12" s="743"/>
      <c r="I12" s="743"/>
      <c r="J12" s="743"/>
      <c r="K12" s="743"/>
      <c r="L12" s="743"/>
      <c r="M12" s="743"/>
      <c r="N12" s="743"/>
      <c r="O12" s="743"/>
      <c r="P12" s="743"/>
      <c r="Q12" s="743"/>
      <c r="R12" s="743"/>
      <c r="S12" s="743"/>
      <c r="T12" s="743"/>
      <c r="U12" s="743"/>
      <c r="V12" s="743"/>
      <c r="W12" s="743"/>
      <c r="X12" s="743"/>
      <c r="Y12" s="743"/>
      <c r="Z12" s="743"/>
      <c r="AA12" s="743"/>
      <c r="AB12" s="743"/>
      <c r="AC12" s="743"/>
      <c r="AD12" s="743"/>
      <c r="AE12" s="743"/>
      <c r="AF12" s="743"/>
      <c r="AG12" s="743"/>
      <c r="AH12" s="743"/>
      <c r="AI12" s="743"/>
      <c r="AJ12" s="743"/>
      <c r="AK12" s="743"/>
      <c r="AL12" s="743"/>
      <c r="AM12" s="743"/>
      <c r="AN12" s="743"/>
    </row>
    <row r="13" spans="1:46" x14ac:dyDescent="0.25">
      <c r="A13" s="155"/>
      <c r="B13" t="s">
        <v>44</v>
      </c>
    </row>
    <row r="14" spans="1:46" x14ac:dyDescent="0.25">
      <c r="A14" s="153"/>
      <c r="B14" t="s">
        <v>42</v>
      </c>
    </row>
    <row r="15" spans="1:46" x14ac:dyDescent="0.25">
      <c r="A15" s="154"/>
      <c r="B15" t="s">
        <v>43</v>
      </c>
    </row>
    <row r="16" spans="1:46" x14ac:dyDescent="0.25">
      <c r="A16" s="15" t="s">
        <v>28</v>
      </c>
    </row>
  </sheetData>
  <mergeCells count="15">
    <mergeCell ref="A12:AN12"/>
    <mergeCell ref="A11:R11"/>
    <mergeCell ref="A9:AN9"/>
    <mergeCell ref="A10:AN10"/>
    <mergeCell ref="AK1:AN1"/>
    <mergeCell ref="C8:E8"/>
    <mergeCell ref="P1:R1"/>
    <mergeCell ref="A1:C1"/>
    <mergeCell ref="E1:G1"/>
    <mergeCell ref="H1:I1"/>
    <mergeCell ref="J1:M1"/>
    <mergeCell ref="N1:O1"/>
    <mergeCell ref="Y1:AB1"/>
    <mergeCell ref="AC1:AF1"/>
    <mergeCell ref="AG1:AJ1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T30"/>
  <sheetViews>
    <sheetView zoomScaleNormal="100" workbookViewId="0">
      <pane ySplit="2" topLeftCell="A3" activePane="bottomLeft" state="frozen"/>
      <selection pane="bottomLeft" activeCell="U17" sqref="U17"/>
    </sheetView>
  </sheetViews>
  <sheetFormatPr defaultRowHeight="14.3" x14ac:dyDescent="0.25"/>
  <cols>
    <col min="1" max="1" width="7.5" customWidth="1"/>
    <col min="2" max="2" width="4.5" bestFit="1" customWidth="1"/>
    <col min="3" max="3" width="11.5" customWidth="1"/>
    <col min="4" max="4" width="4.125" customWidth="1"/>
    <col min="5" max="5" width="3.625" customWidth="1"/>
    <col min="6" max="7" width="4" bestFit="1" customWidth="1"/>
    <col min="8" max="18" width="3.625" customWidth="1"/>
    <col min="19" max="19" width="6.375" customWidth="1"/>
    <col min="20" max="20" width="6.625" bestFit="1" customWidth="1"/>
    <col min="21" max="21" width="21.625" bestFit="1" customWidth="1"/>
    <col min="22" max="22" width="31" bestFit="1" customWidth="1"/>
    <col min="23" max="23" width="21.5" customWidth="1"/>
    <col min="24" max="24" width="30.5" customWidth="1"/>
    <col min="25" max="40" width="3.625" customWidth="1"/>
    <col min="42" max="42" width="13.125" bestFit="1" customWidth="1"/>
    <col min="45" max="45" width="13.125" bestFit="1" customWidth="1"/>
  </cols>
  <sheetData>
    <row r="1" spans="1:46" ht="14.95" customHeight="1" thickBot="1" x14ac:dyDescent="0.3">
      <c r="A1" s="888" t="s">
        <v>208</v>
      </c>
      <c r="B1" s="889"/>
      <c r="C1" s="889"/>
      <c r="D1" s="156"/>
      <c r="E1" s="890" t="s">
        <v>24</v>
      </c>
      <c r="F1" s="891"/>
      <c r="G1" s="892"/>
      <c r="H1" s="890" t="s">
        <v>23</v>
      </c>
      <c r="I1" s="892"/>
      <c r="J1" s="893" t="s">
        <v>6</v>
      </c>
      <c r="K1" s="894"/>
      <c r="L1" s="894"/>
      <c r="M1" s="895"/>
      <c r="N1" s="893" t="s">
        <v>7</v>
      </c>
      <c r="O1" s="895"/>
      <c r="P1" s="893" t="s">
        <v>25</v>
      </c>
      <c r="Q1" s="894"/>
      <c r="R1" s="895"/>
      <c r="S1" s="429" t="s">
        <v>8</v>
      </c>
      <c r="T1" s="429" t="s">
        <v>9</v>
      </c>
      <c r="U1" s="93" t="s">
        <v>10</v>
      </c>
      <c r="V1" s="92" t="s">
        <v>11</v>
      </c>
      <c r="W1" s="94" t="s">
        <v>26</v>
      </c>
      <c r="X1" s="166" t="s">
        <v>27</v>
      </c>
      <c r="Y1" s="896" t="s">
        <v>20</v>
      </c>
      <c r="Z1" s="756"/>
      <c r="AA1" s="756"/>
      <c r="AB1" s="756"/>
      <c r="AC1" s="896" t="s">
        <v>61</v>
      </c>
      <c r="AD1" s="756"/>
      <c r="AE1" s="756"/>
      <c r="AF1" s="756"/>
      <c r="AG1" s="896" t="s">
        <v>62</v>
      </c>
      <c r="AH1" s="756"/>
      <c r="AI1" s="756"/>
      <c r="AJ1" s="756"/>
      <c r="AK1" s="896" t="s">
        <v>63</v>
      </c>
      <c r="AL1" s="756"/>
      <c r="AM1" s="756"/>
      <c r="AN1" s="756"/>
      <c r="AP1" s="409" t="s">
        <v>153</v>
      </c>
      <c r="AQ1" s="397"/>
      <c r="AR1" s="397"/>
      <c r="AS1" s="409" t="s">
        <v>153</v>
      </c>
    </row>
    <row r="2" spans="1:46" ht="14.95" customHeight="1" thickBot="1" x14ac:dyDescent="0.3">
      <c r="A2" s="95" t="s">
        <v>19</v>
      </c>
      <c r="B2" s="96" t="s">
        <v>18</v>
      </c>
      <c r="C2" s="97" t="s">
        <v>17</v>
      </c>
      <c r="D2" s="98" t="s">
        <v>41</v>
      </c>
      <c r="E2" s="98" t="s">
        <v>16</v>
      </c>
      <c r="F2" s="98" t="s">
        <v>4</v>
      </c>
      <c r="G2" s="98" t="s">
        <v>5</v>
      </c>
      <c r="H2" s="99" t="s">
        <v>12</v>
      </c>
      <c r="I2" s="99" t="s">
        <v>3</v>
      </c>
      <c r="J2" s="99" t="s">
        <v>12</v>
      </c>
      <c r="K2" s="99" t="s">
        <v>13</v>
      </c>
      <c r="L2" s="99" t="s">
        <v>2</v>
      </c>
      <c r="M2" s="99" t="s">
        <v>14</v>
      </c>
      <c r="N2" s="99" t="s">
        <v>15</v>
      </c>
      <c r="O2" s="99" t="s">
        <v>16</v>
      </c>
      <c r="P2" s="99" t="s">
        <v>21</v>
      </c>
      <c r="Q2" s="99" t="s">
        <v>22</v>
      </c>
      <c r="R2" s="99" t="s">
        <v>12</v>
      </c>
      <c r="S2" s="100"/>
      <c r="T2" s="101"/>
      <c r="U2" s="102"/>
      <c r="V2" s="100"/>
      <c r="W2" s="103"/>
      <c r="X2" s="104"/>
      <c r="Y2" s="332" t="s">
        <v>0</v>
      </c>
      <c r="Z2" s="332" t="s">
        <v>1</v>
      </c>
      <c r="AA2" s="332" t="s">
        <v>2</v>
      </c>
      <c r="AB2" s="332" t="s">
        <v>3</v>
      </c>
      <c r="AC2" s="332" t="s">
        <v>0</v>
      </c>
      <c r="AD2" s="332" t="s">
        <v>1</v>
      </c>
      <c r="AE2" s="332" t="s">
        <v>2</v>
      </c>
      <c r="AF2" s="332" t="s">
        <v>3</v>
      </c>
      <c r="AG2" s="332" t="s">
        <v>0</v>
      </c>
      <c r="AH2" s="332" t="s">
        <v>1</v>
      </c>
      <c r="AI2" s="332" t="s">
        <v>2</v>
      </c>
      <c r="AJ2" s="332" t="s">
        <v>3</v>
      </c>
      <c r="AK2" s="332" t="s">
        <v>0</v>
      </c>
      <c r="AL2" s="332" t="s">
        <v>1</v>
      </c>
      <c r="AM2" s="332" t="s">
        <v>2</v>
      </c>
      <c r="AN2" s="332" t="s">
        <v>3</v>
      </c>
      <c r="AP2" s="367" t="s">
        <v>107</v>
      </c>
      <c r="AQ2" s="204"/>
      <c r="AS2" s="368" t="s">
        <v>130</v>
      </c>
      <c r="AT2" s="204"/>
    </row>
    <row r="3" spans="1:46" ht="14.95" customHeight="1" thickBot="1" x14ac:dyDescent="0.35">
      <c r="A3" s="528">
        <v>44744</v>
      </c>
      <c r="B3" s="529" t="s">
        <v>45</v>
      </c>
      <c r="C3" s="529" t="s">
        <v>39</v>
      </c>
      <c r="D3" s="541" t="s">
        <v>129</v>
      </c>
      <c r="E3" s="530" t="s">
        <v>1</v>
      </c>
      <c r="F3" s="530">
        <v>42</v>
      </c>
      <c r="G3" s="530">
        <v>19</v>
      </c>
      <c r="H3" s="530" t="s">
        <v>106</v>
      </c>
      <c r="I3" s="530" t="s">
        <v>106</v>
      </c>
      <c r="J3" s="530">
        <v>6</v>
      </c>
      <c r="K3" s="530">
        <v>6</v>
      </c>
      <c r="L3" s="530">
        <v>0</v>
      </c>
      <c r="M3" s="530">
        <v>0</v>
      </c>
      <c r="N3" s="530">
        <v>1</v>
      </c>
      <c r="O3" s="530">
        <v>0</v>
      </c>
      <c r="P3" s="530" t="s">
        <v>106</v>
      </c>
      <c r="Q3" s="530" t="s">
        <v>106</v>
      </c>
      <c r="R3" s="530">
        <v>3</v>
      </c>
      <c r="S3" s="531">
        <v>48300</v>
      </c>
      <c r="T3" s="543" t="s">
        <v>504</v>
      </c>
      <c r="U3" s="533" t="s">
        <v>322</v>
      </c>
      <c r="V3" s="531" t="s">
        <v>505</v>
      </c>
      <c r="W3" s="534" t="s">
        <v>304</v>
      </c>
      <c r="X3" s="535" t="s">
        <v>448</v>
      </c>
      <c r="Y3" s="536">
        <v>1</v>
      </c>
      <c r="Z3" s="536">
        <v>1</v>
      </c>
      <c r="AA3" s="536">
        <v>0</v>
      </c>
      <c r="AB3" s="537">
        <v>0</v>
      </c>
      <c r="AC3" s="536">
        <v>1</v>
      </c>
      <c r="AD3" s="536">
        <v>1</v>
      </c>
      <c r="AE3" s="536">
        <v>0</v>
      </c>
      <c r="AF3" s="537">
        <v>0</v>
      </c>
      <c r="AG3" s="536">
        <v>0</v>
      </c>
      <c r="AH3" s="536">
        <v>0</v>
      </c>
      <c r="AI3" s="536">
        <v>0</v>
      </c>
      <c r="AJ3" s="537">
        <v>0</v>
      </c>
      <c r="AK3" s="536">
        <v>0</v>
      </c>
      <c r="AL3" s="536">
        <v>0</v>
      </c>
      <c r="AM3" s="536">
        <v>0</v>
      </c>
      <c r="AN3" s="537">
        <v>0</v>
      </c>
      <c r="AP3" s="386" t="s">
        <v>132</v>
      </c>
      <c r="AQ3" s="387">
        <f>Nzl2019alltestshistplayed</f>
        <v>625</v>
      </c>
      <c r="AS3" s="386" t="s">
        <v>132</v>
      </c>
      <c r="AT3" s="387">
        <f>New_ZealandRWChistplayed</f>
        <v>56</v>
      </c>
    </row>
    <row r="4" spans="1:46" ht="14.95" customHeight="1" thickBot="1" x14ac:dyDescent="0.3">
      <c r="A4" s="528">
        <v>44751</v>
      </c>
      <c r="B4" s="529" t="s">
        <v>45</v>
      </c>
      <c r="C4" s="529" t="s">
        <v>39</v>
      </c>
      <c r="D4" s="541" t="s">
        <v>184</v>
      </c>
      <c r="E4" s="530" t="s">
        <v>3</v>
      </c>
      <c r="F4" s="530">
        <v>12</v>
      </c>
      <c r="G4" s="530">
        <v>23</v>
      </c>
      <c r="H4" s="530" t="s">
        <v>106</v>
      </c>
      <c r="I4" s="530" t="s">
        <v>106</v>
      </c>
      <c r="J4" s="530">
        <v>2</v>
      </c>
      <c r="K4" s="530">
        <v>1</v>
      </c>
      <c r="L4" s="530">
        <v>0</v>
      </c>
      <c r="M4" s="530">
        <v>0</v>
      </c>
      <c r="N4" s="530">
        <v>2</v>
      </c>
      <c r="O4" s="530">
        <v>1</v>
      </c>
      <c r="P4" s="530" t="s">
        <v>106</v>
      </c>
      <c r="Q4" s="530" t="s">
        <v>106</v>
      </c>
      <c r="R4" s="530">
        <v>2</v>
      </c>
      <c r="S4" s="531">
        <v>28191</v>
      </c>
      <c r="T4" s="532" t="s">
        <v>562</v>
      </c>
      <c r="U4" s="534" t="s">
        <v>258</v>
      </c>
      <c r="V4" s="531" t="s">
        <v>323</v>
      </c>
      <c r="W4" s="534" t="s">
        <v>322</v>
      </c>
      <c r="X4" s="535" t="s">
        <v>448</v>
      </c>
      <c r="Y4" s="536">
        <v>1</v>
      </c>
      <c r="Z4" s="536">
        <v>0</v>
      </c>
      <c r="AA4" s="536">
        <v>0</v>
      </c>
      <c r="AB4" s="537">
        <v>1</v>
      </c>
      <c r="AC4" s="536">
        <v>1</v>
      </c>
      <c r="AD4" s="536">
        <v>0</v>
      </c>
      <c r="AE4" s="536">
        <v>0</v>
      </c>
      <c r="AF4" s="537">
        <v>1</v>
      </c>
      <c r="AG4" s="536">
        <v>0</v>
      </c>
      <c r="AH4" s="536">
        <v>0</v>
      </c>
      <c r="AI4" s="536">
        <v>0</v>
      </c>
      <c r="AJ4" s="537">
        <v>0</v>
      </c>
      <c r="AK4" s="536">
        <v>0</v>
      </c>
      <c r="AL4" s="536">
        <v>0</v>
      </c>
      <c r="AM4" s="536">
        <v>0</v>
      </c>
      <c r="AN4" s="537">
        <v>0</v>
      </c>
      <c r="AP4" s="388" t="s">
        <v>133</v>
      </c>
      <c r="AQ4" s="389">
        <f>Nzl2019alltestshistwon</f>
        <v>480</v>
      </c>
      <c r="AS4" s="388" t="s">
        <v>133</v>
      </c>
      <c r="AT4" s="389">
        <f>New_ZealandRWChistwon</f>
        <v>49</v>
      </c>
    </row>
    <row r="5" spans="1:46" ht="14.95" customHeight="1" thickBot="1" x14ac:dyDescent="0.3">
      <c r="A5" s="528">
        <v>44758</v>
      </c>
      <c r="B5" s="541" t="s">
        <v>45</v>
      </c>
      <c r="C5" s="529" t="s">
        <v>39</v>
      </c>
      <c r="D5" s="541" t="s">
        <v>243</v>
      </c>
      <c r="E5" s="530" t="s">
        <v>3</v>
      </c>
      <c r="F5" s="530">
        <v>22</v>
      </c>
      <c r="G5" s="542">
        <v>32</v>
      </c>
      <c r="H5" s="542" t="s">
        <v>106</v>
      </c>
      <c r="I5" s="530" t="s">
        <v>106</v>
      </c>
      <c r="J5" s="530">
        <v>3</v>
      </c>
      <c r="K5" s="530">
        <v>2</v>
      </c>
      <c r="L5" s="530">
        <v>0</v>
      </c>
      <c r="M5" s="530">
        <v>1</v>
      </c>
      <c r="N5" s="530">
        <v>0</v>
      </c>
      <c r="O5" s="530">
        <v>0</v>
      </c>
      <c r="P5" s="530" t="s">
        <v>106</v>
      </c>
      <c r="Q5" s="530" t="s">
        <v>106</v>
      </c>
      <c r="R5" s="530">
        <v>4</v>
      </c>
      <c r="S5" s="534">
        <v>34500</v>
      </c>
      <c r="T5" s="538" t="s">
        <v>604</v>
      </c>
      <c r="U5" s="539" t="s">
        <v>304</v>
      </c>
      <c r="V5" s="534" t="s">
        <v>323</v>
      </c>
      <c r="W5" s="534" t="s">
        <v>322</v>
      </c>
      <c r="X5" s="540" t="s">
        <v>340</v>
      </c>
      <c r="Y5" s="536">
        <v>1</v>
      </c>
      <c r="Z5" s="536">
        <v>0</v>
      </c>
      <c r="AA5" s="536">
        <v>0</v>
      </c>
      <c r="AB5" s="537">
        <v>1</v>
      </c>
      <c r="AC5" s="536">
        <v>1</v>
      </c>
      <c r="AD5" s="536">
        <v>0</v>
      </c>
      <c r="AE5" s="536">
        <v>0</v>
      </c>
      <c r="AF5" s="537">
        <v>1</v>
      </c>
      <c r="AG5" s="536">
        <v>0</v>
      </c>
      <c r="AH5" s="536">
        <v>0</v>
      </c>
      <c r="AI5" s="536">
        <v>0</v>
      </c>
      <c r="AJ5" s="537">
        <v>0</v>
      </c>
      <c r="AK5" s="536">
        <v>0</v>
      </c>
      <c r="AL5" s="536">
        <v>0</v>
      </c>
      <c r="AM5" s="536">
        <v>0</v>
      </c>
      <c r="AN5" s="537">
        <v>0</v>
      </c>
      <c r="AP5" s="388" t="s">
        <v>139</v>
      </c>
      <c r="AQ5" s="389">
        <f>Nzl2019alltestshistdrawn</f>
        <v>23</v>
      </c>
      <c r="AS5" s="388" t="s">
        <v>139</v>
      </c>
      <c r="AT5" s="389">
        <f>New_ZealandRWChistdrawn</f>
        <v>0</v>
      </c>
    </row>
    <row r="6" spans="1:46" ht="14.95" customHeight="1" thickBot="1" x14ac:dyDescent="0.3">
      <c r="A6" s="501">
        <v>44779</v>
      </c>
      <c r="B6" s="502" t="s">
        <v>648</v>
      </c>
      <c r="C6" s="503" t="s">
        <v>177</v>
      </c>
      <c r="D6" s="502" t="s">
        <v>649</v>
      </c>
      <c r="E6" s="504" t="s">
        <v>3</v>
      </c>
      <c r="F6" s="504">
        <v>10</v>
      </c>
      <c r="G6" s="505">
        <v>26</v>
      </c>
      <c r="H6" s="568">
        <v>0</v>
      </c>
      <c r="I6" s="505">
        <v>0</v>
      </c>
      <c r="J6" s="504">
        <v>1</v>
      </c>
      <c r="K6" s="504">
        <v>1</v>
      </c>
      <c r="L6" s="504">
        <v>0</v>
      </c>
      <c r="M6" s="504">
        <v>1</v>
      </c>
      <c r="N6" s="504">
        <v>0</v>
      </c>
      <c r="O6" s="504">
        <v>0</v>
      </c>
      <c r="P6" s="504">
        <v>0</v>
      </c>
      <c r="Q6" s="504">
        <v>0</v>
      </c>
      <c r="R6" s="504">
        <v>2</v>
      </c>
      <c r="S6" s="506">
        <v>42367</v>
      </c>
      <c r="T6" s="520" t="s">
        <v>652</v>
      </c>
      <c r="U6" s="507" t="s">
        <v>261</v>
      </c>
      <c r="V6" s="506" t="s">
        <v>283</v>
      </c>
      <c r="W6" s="506" t="s">
        <v>324</v>
      </c>
      <c r="X6" s="508" t="s">
        <v>340</v>
      </c>
      <c r="Y6" s="509">
        <v>1</v>
      </c>
      <c r="Z6" s="509">
        <v>0</v>
      </c>
      <c r="AA6" s="509">
        <v>0</v>
      </c>
      <c r="AB6" s="510">
        <v>1</v>
      </c>
      <c r="AC6" s="509">
        <v>0</v>
      </c>
      <c r="AD6" s="509">
        <v>0</v>
      </c>
      <c r="AE6" s="509">
        <v>0</v>
      </c>
      <c r="AF6" s="510">
        <v>0</v>
      </c>
      <c r="AG6" s="509">
        <v>1</v>
      </c>
      <c r="AH6" s="509">
        <v>0</v>
      </c>
      <c r="AI6" s="509">
        <v>0</v>
      </c>
      <c r="AJ6" s="510">
        <v>1</v>
      </c>
      <c r="AK6" s="509">
        <v>0</v>
      </c>
      <c r="AL6" s="509">
        <v>0</v>
      </c>
      <c r="AM6" s="509">
        <v>0</v>
      </c>
      <c r="AN6" s="510">
        <v>0</v>
      </c>
      <c r="AP6" s="388" t="s">
        <v>134</v>
      </c>
      <c r="AQ6" s="389">
        <f>Nzl2019alltestshistlost</f>
        <v>122</v>
      </c>
      <c r="AS6" s="388" t="s">
        <v>134</v>
      </c>
      <c r="AT6" s="389">
        <f>New_ZealandRWChistlost</f>
        <v>7</v>
      </c>
    </row>
    <row r="7" spans="1:46" ht="14.95" customHeight="1" thickBot="1" x14ac:dyDescent="0.35">
      <c r="A7" s="501">
        <v>44786</v>
      </c>
      <c r="B7" s="577" t="s">
        <v>648</v>
      </c>
      <c r="C7" s="517" t="s">
        <v>177</v>
      </c>
      <c r="D7" s="502" t="s">
        <v>660</v>
      </c>
      <c r="E7" s="504" t="s">
        <v>1</v>
      </c>
      <c r="F7" s="504">
        <v>35</v>
      </c>
      <c r="G7" s="505">
        <v>23</v>
      </c>
      <c r="H7" s="505">
        <v>1</v>
      </c>
      <c r="I7" s="504">
        <v>0</v>
      </c>
      <c r="J7" s="504">
        <v>4</v>
      </c>
      <c r="K7" s="504">
        <v>3</v>
      </c>
      <c r="L7" s="504">
        <v>0</v>
      </c>
      <c r="M7" s="504">
        <v>3</v>
      </c>
      <c r="N7" s="504">
        <v>1</v>
      </c>
      <c r="O7" s="504">
        <v>0</v>
      </c>
      <c r="P7" s="504">
        <v>0</v>
      </c>
      <c r="Q7" s="504">
        <v>0</v>
      </c>
      <c r="R7" s="504">
        <v>2</v>
      </c>
      <c r="S7" s="506">
        <v>61519</v>
      </c>
      <c r="T7" s="570" t="s">
        <v>662</v>
      </c>
      <c r="U7" s="514" t="s">
        <v>324</v>
      </c>
      <c r="V7" s="506" t="s">
        <v>283</v>
      </c>
      <c r="W7" s="506" t="s">
        <v>261</v>
      </c>
      <c r="X7" s="506" t="s">
        <v>340</v>
      </c>
      <c r="Y7" s="509">
        <v>1</v>
      </c>
      <c r="Z7" s="509">
        <v>1</v>
      </c>
      <c r="AA7" s="509">
        <v>0</v>
      </c>
      <c r="AB7" s="510">
        <v>0</v>
      </c>
      <c r="AC7" s="509">
        <v>0</v>
      </c>
      <c r="AD7" s="509">
        <v>0</v>
      </c>
      <c r="AE7" s="509">
        <v>0</v>
      </c>
      <c r="AF7" s="510">
        <v>0</v>
      </c>
      <c r="AG7" s="509">
        <v>1</v>
      </c>
      <c r="AH7" s="509">
        <v>1</v>
      </c>
      <c r="AI7" s="509">
        <v>0</v>
      </c>
      <c r="AJ7" s="510">
        <v>0</v>
      </c>
      <c r="AK7" s="509">
        <v>0</v>
      </c>
      <c r="AL7" s="509">
        <v>0</v>
      </c>
      <c r="AM7" s="509">
        <v>0</v>
      </c>
      <c r="AN7" s="510">
        <v>0</v>
      </c>
      <c r="AP7" s="388" t="s">
        <v>140</v>
      </c>
      <c r="AQ7" s="389">
        <f>Nzl2019alltestshistptsscored</f>
        <v>17715</v>
      </c>
      <c r="AS7" s="388" t="s">
        <v>140</v>
      </c>
      <c r="AT7" s="389">
        <f>New_ZealandRWChistptsscored</f>
        <v>2552</v>
      </c>
    </row>
    <row r="8" spans="1:46" ht="14.95" customHeight="1" thickBot="1" x14ac:dyDescent="0.35">
      <c r="A8" s="545">
        <v>44800</v>
      </c>
      <c r="B8" s="541" t="s">
        <v>648</v>
      </c>
      <c r="C8" s="546" t="s">
        <v>37</v>
      </c>
      <c r="D8" s="578" t="s">
        <v>673</v>
      </c>
      <c r="E8" s="530" t="s">
        <v>3</v>
      </c>
      <c r="F8" s="530">
        <v>18</v>
      </c>
      <c r="G8" s="542">
        <v>25</v>
      </c>
      <c r="H8" s="542">
        <v>0</v>
      </c>
      <c r="I8" s="530">
        <v>1</v>
      </c>
      <c r="J8" s="530">
        <v>2</v>
      </c>
      <c r="K8" s="530">
        <v>1</v>
      </c>
      <c r="L8" s="530">
        <v>0</v>
      </c>
      <c r="M8" s="530">
        <v>2</v>
      </c>
      <c r="N8" s="530">
        <v>1</v>
      </c>
      <c r="O8" s="530">
        <v>0</v>
      </c>
      <c r="P8" s="530">
        <v>0</v>
      </c>
      <c r="Q8" s="530">
        <v>0</v>
      </c>
      <c r="R8" s="530">
        <v>1</v>
      </c>
      <c r="S8" s="534">
        <v>20000</v>
      </c>
      <c r="T8" s="548" t="s">
        <v>675</v>
      </c>
      <c r="U8" s="534" t="s">
        <v>284</v>
      </c>
      <c r="V8" s="534" t="s">
        <v>312</v>
      </c>
      <c r="W8" s="534" t="s">
        <v>268</v>
      </c>
      <c r="X8" s="540" t="s">
        <v>285</v>
      </c>
      <c r="Y8" s="536">
        <v>1</v>
      </c>
      <c r="Z8" s="536">
        <v>0</v>
      </c>
      <c r="AA8" s="536">
        <v>0</v>
      </c>
      <c r="AB8" s="537">
        <v>1</v>
      </c>
      <c r="AC8" s="536">
        <v>1</v>
      </c>
      <c r="AD8" s="536">
        <v>0</v>
      </c>
      <c r="AE8" s="536">
        <v>0</v>
      </c>
      <c r="AF8" s="537">
        <v>1</v>
      </c>
      <c r="AG8" s="536">
        <v>0</v>
      </c>
      <c r="AH8" s="536">
        <v>0</v>
      </c>
      <c r="AI8" s="536">
        <v>0</v>
      </c>
      <c r="AJ8" s="537">
        <v>0</v>
      </c>
      <c r="AK8" s="536">
        <v>0</v>
      </c>
      <c r="AL8" s="536">
        <v>0</v>
      </c>
      <c r="AM8" s="536">
        <v>0</v>
      </c>
      <c r="AN8" s="537">
        <v>0</v>
      </c>
      <c r="AP8" s="388" t="s">
        <v>141</v>
      </c>
      <c r="AQ8" s="389">
        <f>Nzl2019alltestshistptscon</f>
        <v>8521</v>
      </c>
      <c r="AS8" s="388" t="s">
        <v>141</v>
      </c>
      <c r="AT8" s="389">
        <f>New_ZealandRWChistptsconcorrect</f>
        <v>753</v>
      </c>
    </row>
    <row r="9" spans="1:46" ht="14.95" customHeight="1" thickBot="1" x14ac:dyDescent="0.35">
      <c r="A9" s="545">
        <v>44807</v>
      </c>
      <c r="B9" s="578" t="s">
        <v>648</v>
      </c>
      <c r="C9" s="546" t="s">
        <v>37</v>
      </c>
      <c r="D9" s="578" t="s">
        <v>679</v>
      </c>
      <c r="E9" s="530" t="s">
        <v>1</v>
      </c>
      <c r="F9" s="530">
        <v>53</v>
      </c>
      <c r="G9" s="542">
        <v>3</v>
      </c>
      <c r="H9" s="542">
        <v>1</v>
      </c>
      <c r="I9" s="530">
        <v>0</v>
      </c>
      <c r="J9" s="530">
        <v>7</v>
      </c>
      <c r="K9" s="530">
        <v>6</v>
      </c>
      <c r="L9" s="530">
        <v>0</v>
      </c>
      <c r="M9" s="530">
        <v>2</v>
      </c>
      <c r="N9" s="530">
        <v>1</v>
      </c>
      <c r="O9" s="530">
        <v>0</v>
      </c>
      <c r="P9" s="530">
        <v>0</v>
      </c>
      <c r="Q9" s="530">
        <v>0</v>
      </c>
      <c r="R9" s="530">
        <v>0</v>
      </c>
      <c r="S9" s="534">
        <v>22000</v>
      </c>
      <c r="T9" s="554" t="s">
        <v>680</v>
      </c>
      <c r="U9" s="534" t="s">
        <v>268</v>
      </c>
      <c r="V9" s="534" t="s">
        <v>284</v>
      </c>
      <c r="W9" s="534" t="s">
        <v>448</v>
      </c>
      <c r="X9" s="534" t="s">
        <v>312</v>
      </c>
      <c r="Y9" s="537">
        <v>1</v>
      </c>
      <c r="Z9" s="537">
        <v>1</v>
      </c>
      <c r="AA9" s="537">
        <v>0</v>
      </c>
      <c r="AB9" s="537">
        <v>0</v>
      </c>
      <c r="AC9" s="537">
        <v>1</v>
      </c>
      <c r="AD9" s="537">
        <v>1</v>
      </c>
      <c r="AE9" s="537">
        <v>0</v>
      </c>
      <c r="AF9" s="537">
        <v>0</v>
      </c>
      <c r="AG9" s="537">
        <v>0</v>
      </c>
      <c r="AH9" s="537">
        <v>0</v>
      </c>
      <c r="AI9" s="537">
        <v>0</v>
      </c>
      <c r="AJ9" s="537">
        <v>0</v>
      </c>
      <c r="AK9" s="537">
        <v>0</v>
      </c>
      <c r="AL9" s="537">
        <v>0</v>
      </c>
      <c r="AM9" s="537">
        <v>0</v>
      </c>
      <c r="AN9" s="537">
        <v>0</v>
      </c>
      <c r="AP9" s="388" t="s">
        <v>131</v>
      </c>
      <c r="AQ9" s="389">
        <f>Nzl2019alltestshisttriesscored</f>
        <v>2328</v>
      </c>
      <c r="AS9" s="388" t="s">
        <v>131</v>
      </c>
      <c r="AT9" s="389">
        <f>New_ZealandRWChisttriesscored</f>
        <v>347</v>
      </c>
    </row>
    <row r="10" spans="1:46" ht="14.95" customHeight="1" thickBot="1" x14ac:dyDescent="0.3">
      <c r="A10" s="518">
        <v>44819</v>
      </c>
      <c r="B10" s="577" t="s">
        <v>648</v>
      </c>
      <c r="C10" s="562" t="s">
        <v>29</v>
      </c>
      <c r="D10" s="577" t="s">
        <v>649</v>
      </c>
      <c r="E10" s="504" t="s">
        <v>1</v>
      </c>
      <c r="F10" s="504">
        <v>39</v>
      </c>
      <c r="G10" s="505">
        <v>37</v>
      </c>
      <c r="H10" s="505">
        <v>1</v>
      </c>
      <c r="I10" s="504">
        <v>0</v>
      </c>
      <c r="J10" s="504">
        <v>5</v>
      </c>
      <c r="K10" s="504">
        <v>4</v>
      </c>
      <c r="L10" s="504">
        <v>0</v>
      </c>
      <c r="M10" s="504">
        <v>2</v>
      </c>
      <c r="N10" s="504">
        <v>1</v>
      </c>
      <c r="O10" s="504">
        <v>0</v>
      </c>
      <c r="P10" s="504">
        <v>1</v>
      </c>
      <c r="Q10" s="504">
        <v>1</v>
      </c>
      <c r="R10" s="504">
        <v>4</v>
      </c>
      <c r="S10" s="506">
        <v>53343</v>
      </c>
      <c r="T10" s="680" t="s">
        <v>690</v>
      </c>
      <c r="U10" s="506" t="s">
        <v>260</v>
      </c>
      <c r="V10" s="506" t="s">
        <v>267</v>
      </c>
      <c r="W10" s="506" t="s">
        <v>313</v>
      </c>
      <c r="X10" s="506" t="s">
        <v>314</v>
      </c>
      <c r="Y10" s="510">
        <v>1</v>
      </c>
      <c r="Z10" s="510">
        <v>1</v>
      </c>
      <c r="AA10" s="510">
        <v>0</v>
      </c>
      <c r="AB10" s="510">
        <v>0</v>
      </c>
      <c r="AC10" s="510">
        <v>0</v>
      </c>
      <c r="AD10" s="510">
        <v>0</v>
      </c>
      <c r="AE10" s="510">
        <v>0</v>
      </c>
      <c r="AF10" s="510">
        <v>0</v>
      </c>
      <c r="AG10" s="510">
        <v>1</v>
      </c>
      <c r="AH10" s="510">
        <v>1</v>
      </c>
      <c r="AI10" s="510">
        <v>0</v>
      </c>
      <c r="AJ10" s="510">
        <v>0</v>
      </c>
      <c r="AK10" s="510">
        <v>0</v>
      </c>
      <c r="AL10" s="510">
        <v>0</v>
      </c>
      <c r="AM10" s="510">
        <v>0</v>
      </c>
      <c r="AN10" s="510">
        <v>0</v>
      </c>
    </row>
    <row r="11" spans="1:46" ht="14.95" customHeight="1" thickBot="1" x14ac:dyDescent="0.35">
      <c r="A11" s="545">
        <v>44828</v>
      </c>
      <c r="B11" s="578" t="s">
        <v>648</v>
      </c>
      <c r="C11" s="546" t="s">
        <v>29</v>
      </c>
      <c r="D11" s="578" t="s">
        <v>129</v>
      </c>
      <c r="E11" s="530" t="s">
        <v>1</v>
      </c>
      <c r="F11" s="530">
        <v>40</v>
      </c>
      <c r="G11" s="542">
        <v>14</v>
      </c>
      <c r="H11" s="542">
        <v>1</v>
      </c>
      <c r="I11" s="530">
        <v>0</v>
      </c>
      <c r="J11" s="530">
        <v>5</v>
      </c>
      <c r="K11" s="530">
        <v>2</v>
      </c>
      <c r="L11" s="530">
        <v>0</v>
      </c>
      <c r="M11" s="530">
        <v>3</v>
      </c>
      <c r="N11" s="530">
        <v>0</v>
      </c>
      <c r="O11" s="530">
        <v>0</v>
      </c>
      <c r="P11" s="530">
        <v>0</v>
      </c>
      <c r="Q11" s="530">
        <v>0</v>
      </c>
      <c r="R11" s="530">
        <v>2</v>
      </c>
      <c r="S11" s="534">
        <v>47000</v>
      </c>
      <c r="T11" s="554" t="s">
        <v>704</v>
      </c>
      <c r="U11" s="534" t="s">
        <v>313</v>
      </c>
      <c r="V11" s="534" t="s">
        <v>267</v>
      </c>
      <c r="W11" s="534" t="s">
        <v>260</v>
      </c>
      <c r="X11" s="534" t="s">
        <v>314</v>
      </c>
      <c r="Y11" s="537">
        <v>1</v>
      </c>
      <c r="Z11" s="537">
        <v>1</v>
      </c>
      <c r="AA11" s="537">
        <v>0</v>
      </c>
      <c r="AB11" s="537">
        <v>0</v>
      </c>
      <c r="AC11" s="537">
        <v>1</v>
      </c>
      <c r="AD11" s="537">
        <v>1</v>
      </c>
      <c r="AE11" s="537">
        <v>0</v>
      </c>
      <c r="AF11" s="537">
        <v>0</v>
      </c>
      <c r="AG11" s="537">
        <v>0</v>
      </c>
      <c r="AH11" s="537">
        <v>0</v>
      </c>
      <c r="AI11" s="537">
        <v>0</v>
      </c>
      <c r="AJ11" s="537">
        <v>0</v>
      </c>
      <c r="AK11" s="537">
        <v>0</v>
      </c>
      <c r="AL11" s="537">
        <v>0</v>
      </c>
      <c r="AM11" s="537">
        <v>0</v>
      </c>
      <c r="AN11" s="537">
        <v>0</v>
      </c>
    </row>
    <row r="12" spans="1:46" ht="14.8" customHeight="1" thickBot="1" x14ac:dyDescent="0.35">
      <c r="A12" s="518">
        <v>44863</v>
      </c>
      <c r="B12" s="577" t="s">
        <v>45</v>
      </c>
      <c r="C12" s="517" t="s">
        <v>36</v>
      </c>
      <c r="D12" s="577" t="s">
        <v>471</v>
      </c>
      <c r="E12" s="504" t="s">
        <v>1</v>
      </c>
      <c r="F12" s="504">
        <v>38</v>
      </c>
      <c r="G12" s="505">
        <v>31</v>
      </c>
      <c r="H12" s="505" t="s">
        <v>106</v>
      </c>
      <c r="I12" s="504" t="s">
        <v>106</v>
      </c>
      <c r="J12" s="504">
        <v>5</v>
      </c>
      <c r="K12" s="504">
        <v>5</v>
      </c>
      <c r="L12" s="504">
        <v>0</v>
      </c>
      <c r="M12" s="504">
        <v>1</v>
      </c>
      <c r="N12" s="504">
        <v>0</v>
      </c>
      <c r="O12" s="504">
        <v>1</v>
      </c>
      <c r="P12" s="504" t="s">
        <v>106</v>
      </c>
      <c r="Q12" s="504" t="s">
        <v>106</v>
      </c>
      <c r="R12" s="504">
        <v>4</v>
      </c>
      <c r="S12" s="506">
        <v>65188</v>
      </c>
      <c r="T12" s="570" t="s">
        <v>762</v>
      </c>
      <c r="U12" s="506" t="s">
        <v>284</v>
      </c>
      <c r="V12" s="506" t="s">
        <v>368</v>
      </c>
      <c r="W12" s="506" t="s">
        <v>448</v>
      </c>
      <c r="X12" s="506" t="s">
        <v>451</v>
      </c>
      <c r="Y12" s="510">
        <v>1</v>
      </c>
      <c r="Z12" s="510">
        <v>1</v>
      </c>
      <c r="AA12" s="510">
        <v>0</v>
      </c>
      <c r="AB12" s="510">
        <v>0</v>
      </c>
      <c r="AC12" s="510">
        <v>0</v>
      </c>
      <c r="AD12" s="510">
        <v>0</v>
      </c>
      <c r="AE12" s="510">
        <v>0</v>
      </c>
      <c r="AF12" s="510">
        <v>0</v>
      </c>
      <c r="AG12" s="510">
        <v>1</v>
      </c>
      <c r="AH12" s="510">
        <v>1</v>
      </c>
      <c r="AI12" s="510">
        <v>0</v>
      </c>
      <c r="AJ12" s="510">
        <v>0</v>
      </c>
      <c r="AK12" s="510">
        <v>0</v>
      </c>
      <c r="AL12" s="510">
        <v>0</v>
      </c>
      <c r="AM12" s="510">
        <v>0</v>
      </c>
      <c r="AN12" s="510">
        <v>0</v>
      </c>
    </row>
    <row r="13" spans="1:46" ht="14.95" customHeight="1" thickBot="1" x14ac:dyDescent="0.35">
      <c r="A13" s="518">
        <v>44870</v>
      </c>
      <c r="B13" s="612" t="s">
        <v>721</v>
      </c>
      <c r="C13" s="517" t="s">
        <v>32</v>
      </c>
      <c r="D13" s="577" t="s">
        <v>112</v>
      </c>
      <c r="E13" s="504" t="s">
        <v>1</v>
      </c>
      <c r="F13" s="504">
        <v>55</v>
      </c>
      <c r="G13" s="505">
        <v>23</v>
      </c>
      <c r="H13" s="505" t="s">
        <v>106</v>
      </c>
      <c r="I13" s="504" t="s">
        <v>106</v>
      </c>
      <c r="J13" s="504">
        <v>8</v>
      </c>
      <c r="K13" s="504">
        <v>6</v>
      </c>
      <c r="L13" s="504">
        <v>0</v>
      </c>
      <c r="M13" s="504">
        <v>1</v>
      </c>
      <c r="N13" s="504">
        <v>0</v>
      </c>
      <c r="O13" s="504">
        <v>0</v>
      </c>
      <c r="P13" s="504" t="s">
        <v>106</v>
      </c>
      <c r="Q13" s="504" t="s">
        <v>106</v>
      </c>
      <c r="R13" s="504">
        <v>2</v>
      </c>
      <c r="S13" s="506">
        <v>72000</v>
      </c>
      <c r="T13" s="570" t="s">
        <v>793</v>
      </c>
      <c r="U13" s="506" t="s">
        <v>304</v>
      </c>
      <c r="V13" s="506" t="s">
        <v>312</v>
      </c>
      <c r="W13" s="506" t="s">
        <v>322</v>
      </c>
      <c r="X13" s="506" t="s">
        <v>792</v>
      </c>
      <c r="Y13" s="510">
        <v>1</v>
      </c>
      <c r="Z13" s="510">
        <v>1</v>
      </c>
      <c r="AA13" s="510">
        <v>0</v>
      </c>
      <c r="AB13" s="510">
        <v>0</v>
      </c>
      <c r="AC13" s="510">
        <v>0</v>
      </c>
      <c r="AD13" s="510">
        <v>0</v>
      </c>
      <c r="AE13" s="510">
        <v>0</v>
      </c>
      <c r="AF13" s="510">
        <v>0</v>
      </c>
      <c r="AG13" s="510">
        <v>1</v>
      </c>
      <c r="AH13" s="510">
        <v>1</v>
      </c>
      <c r="AI13" s="510">
        <v>0</v>
      </c>
      <c r="AJ13" s="510">
        <v>0</v>
      </c>
      <c r="AK13" s="510">
        <v>0</v>
      </c>
      <c r="AL13" s="510">
        <v>0</v>
      </c>
      <c r="AM13" s="510">
        <v>0</v>
      </c>
      <c r="AN13" s="510">
        <v>0</v>
      </c>
    </row>
    <row r="14" spans="1:46" ht="14.95" customHeight="1" thickBot="1" x14ac:dyDescent="0.3">
      <c r="A14" s="518">
        <v>44878</v>
      </c>
      <c r="B14" s="577" t="s">
        <v>721</v>
      </c>
      <c r="C14" s="517" t="s">
        <v>35</v>
      </c>
      <c r="D14" s="577" t="s">
        <v>117</v>
      </c>
      <c r="E14" s="504" t="s">
        <v>1</v>
      </c>
      <c r="F14" s="504">
        <v>31</v>
      </c>
      <c r="G14" s="505">
        <v>23</v>
      </c>
      <c r="H14" s="505" t="s">
        <v>106</v>
      </c>
      <c r="I14" s="504" t="s">
        <v>106</v>
      </c>
      <c r="J14" s="504">
        <v>4</v>
      </c>
      <c r="K14" s="504">
        <v>4</v>
      </c>
      <c r="L14" s="504">
        <v>0</v>
      </c>
      <c r="M14" s="504">
        <v>1</v>
      </c>
      <c r="N14" s="504">
        <v>1</v>
      </c>
      <c r="O14" s="504">
        <v>0</v>
      </c>
      <c r="P14" s="504" t="s">
        <v>106</v>
      </c>
      <c r="Q14" s="504" t="s">
        <v>106</v>
      </c>
      <c r="R14" s="504">
        <v>2</v>
      </c>
      <c r="S14" s="506">
        <v>67144</v>
      </c>
      <c r="T14" s="610" t="s">
        <v>826</v>
      </c>
      <c r="U14" s="506" t="s">
        <v>299</v>
      </c>
      <c r="V14" s="506" t="s">
        <v>323</v>
      </c>
      <c r="W14" s="506" t="s">
        <v>313</v>
      </c>
      <c r="X14" s="506" t="s">
        <v>305</v>
      </c>
      <c r="Y14" s="510">
        <v>1</v>
      </c>
      <c r="Z14" s="510">
        <v>1</v>
      </c>
      <c r="AA14" s="510">
        <v>0</v>
      </c>
      <c r="AB14" s="510">
        <v>0</v>
      </c>
      <c r="AC14" s="510">
        <v>0</v>
      </c>
      <c r="AD14" s="510">
        <v>0</v>
      </c>
      <c r="AE14" s="510">
        <v>0</v>
      </c>
      <c r="AF14" s="510">
        <v>0</v>
      </c>
      <c r="AG14" s="510">
        <v>1</v>
      </c>
      <c r="AH14" s="510">
        <v>1</v>
      </c>
      <c r="AI14" s="510">
        <v>0</v>
      </c>
      <c r="AJ14" s="510">
        <v>0</v>
      </c>
      <c r="AK14" s="510">
        <v>0</v>
      </c>
      <c r="AL14" s="510">
        <v>0</v>
      </c>
      <c r="AM14" s="510">
        <v>0</v>
      </c>
      <c r="AN14" s="510">
        <v>0</v>
      </c>
    </row>
    <row r="15" spans="1:46" ht="14.95" customHeight="1" thickBot="1" x14ac:dyDescent="0.35">
      <c r="A15" s="518">
        <v>44884</v>
      </c>
      <c r="B15" s="577" t="s">
        <v>244</v>
      </c>
      <c r="C15" s="517" t="s">
        <v>30</v>
      </c>
      <c r="D15" s="577" t="s">
        <v>116</v>
      </c>
      <c r="E15" s="504" t="s">
        <v>2</v>
      </c>
      <c r="F15" s="504">
        <v>25</v>
      </c>
      <c r="G15" s="505">
        <v>25</v>
      </c>
      <c r="H15" s="505" t="s">
        <v>106</v>
      </c>
      <c r="I15" s="504" t="s">
        <v>106</v>
      </c>
      <c r="J15" s="504">
        <v>3</v>
      </c>
      <c r="K15" s="504">
        <v>2</v>
      </c>
      <c r="L15" s="504">
        <v>1</v>
      </c>
      <c r="M15" s="504">
        <v>1</v>
      </c>
      <c r="N15" s="504">
        <v>1</v>
      </c>
      <c r="O15" s="504">
        <v>0</v>
      </c>
      <c r="P15" s="504" t="s">
        <v>106</v>
      </c>
      <c r="Q15" s="504" t="s">
        <v>106</v>
      </c>
      <c r="R15" s="504">
        <v>3</v>
      </c>
      <c r="S15" s="506">
        <v>81367</v>
      </c>
      <c r="T15" s="521" t="s">
        <v>586</v>
      </c>
      <c r="U15" s="506" t="s">
        <v>260</v>
      </c>
      <c r="V15" s="506" t="s">
        <v>312</v>
      </c>
      <c r="W15" s="506" t="s">
        <v>285</v>
      </c>
      <c r="X15" s="506" t="s">
        <v>841</v>
      </c>
      <c r="Y15" s="510">
        <v>1</v>
      </c>
      <c r="Z15" s="510">
        <v>0</v>
      </c>
      <c r="AA15" s="510">
        <v>1</v>
      </c>
      <c r="AB15" s="510">
        <v>0</v>
      </c>
      <c r="AC15" s="510">
        <v>0</v>
      </c>
      <c r="AD15" s="510">
        <v>0</v>
      </c>
      <c r="AE15" s="510">
        <v>0</v>
      </c>
      <c r="AF15" s="510">
        <v>0</v>
      </c>
      <c r="AG15" s="510">
        <v>1</v>
      </c>
      <c r="AH15" s="510">
        <v>0</v>
      </c>
      <c r="AI15" s="510">
        <v>1</v>
      </c>
      <c r="AJ15" s="510">
        <v>0</v>
      </c>
      <c r="AK15" s="510">
        <v>0</v>
      </c>
      <c r="AL15" s="510">
        <v>0</v>
      </c>
      <c r="AM15" s="510">
        <v>0</v>
      </c>
      <c r="AN15" s="510">
        <v>0</v>
      </c>
    </row>
    <row r="16" spans="1:46" ht="14.95" customHeight="1" thickBot="1" x14ac:dyDescent="0.3">
      <c r="A16" s="310"/>
      <c r="B16" s="311"/>
      <c r="C16" s="777" t="s">
        <v>187</v>
      </c>
      <c r="D16" s="778"/>
      <c r="E16" s="779"/>
      <c r="F16" s="324">
        <f t="shared" ref="F16:R16" si="0">SUM(F6:F11)</f>
        <v>195</v>
      </c>
      <c r="G16" s="324">
        <f t="shared" si="0"/>
        <v>128</v>
      </c>
      <c r="H16" s="324">
        <f t="shared" si="0"/>
        <v>4</v>
      </c>
      <c r="I16" s="324">
        <f t="shared" si="0"/>
        <v>1</v>
      </c>
      <c r="J16" s="324">
        <f t="shared" si="0"/>
        <v>24</v>
      </c>
      <c r="K16" s="324">
        <f t="shared" si="0"/>
        <v>17</v>
      </c>
      <c r="L16" s="324">
        <f t="shared" si="0"/>
        <v>0</v>
      </c>
      <c r="M16" s="324">
        <f t="shared" si="0"/>
        <v>13</v>
      </c>
      <c r="N16" s="324">
        <f t="shared" si="0"/>
        <v>4</v>
      </c>
      <c r="O16" s="324">
        <f t="shared" si="0"/>
        <v>0</v>
      </c>
      <c r="P16" s="324">
        <f t="shared" si="0"/>
        <v>1</v>
      </c>
      <c r="Q16" s="324">
        <f t="shared" si="0"/>
        <v>1</v>
      </c>
      <c r="R16" s="324">
        <f t="shared" si="0"/>
        <v>11</v>
      </c>
      <c r="S16" s="320"/>
      <c r="T16" s="320"/>
      <c r="U16" s="320"/>
      <c r="V16" s="320"/>
      <c r="W16" s="321"/>
      <c r="X16" s="446" t="s">
        <v>187</v>
      </c>
      <c r="Y16" s="324">
        <f t="shared" ref="Y16:AN16" si="1">SUM(Y6:Y11)</f>
        <v>6</v>
      </c>
      <c r="Z16" s="324">
        <f t="shared" si="1"/>
        <v>4</v>
      </c>
      <c r="AA16" s="324">
        <f t="shared" si="1"/>
        <v>0</v>
      </c>
      <c r="AB16" s="324">
        <f t="shared" si="1"/>
        <v>2</v>
      </c>
      <c r="AC16" s="322">
        <f t="shared" si="1"/>
        <v>3</v>
      </c>
      <c r="AD16" s="322">
        <f t="shared" si="1"/>
        <v>2</v>
      </c>
      <c r="AE16" s="322">
        <f t="shared" si="1"/>
        <v>0</v>
      </c>
      <c r="AF16" s="322">
        <f t="shared" si="1"/>
        <v>1</v>
      </c>
      <c r="AG16" s="323">
        <f t="shared" si="1"/>
        <v>3</v>
      </c>
      <c r="AH16" s="323">
        <f t="shared" si="1"/>
        <v>2</v>
      </c>
      <c r="AI16" s="323">
        <f t="shared" si="1"/>
        <v>0</v>
      </c>
      <c r="AJ16" s="323">
        <f t="shared" si="1"/>
        <v>1</v>
      </c>
      <c r="AK16" s="324">
        <f t="shared" si="1"/>
        <v>0</v>
      </c>
      <c r="AL16" s="324">
        <f t="shared" si="1"/>
        <v>0</v>
      </c>
      <c r="AM16" s="324">
        <f t="shared" si="1"/>
        <v>0</v>
      </c>
      <c r="AN16" s="324">
        <f t="shared" si="1"/>
        <v>0</v>
      </c>
    </row>
    <row r="17" spans="1:40" ht="14.95" customHeight="1" thickBot="1" x14ac:dyDescent="0.3">
      <c r="A17" s="310"/>
      <c r="B17" s="311"/>
      <c r="C17" s="771" t="s">
        <v>173</v>
      </c>
      <c r="D17" s="772"/>
      <c r="E17" s="773"/>
      <c r="F17" s="602">
        <f>F3+F4+F5+F12+F13+F14+F15</f>
        <v>225</v>
      </c>
      <c r="G17" s="602">
        <f>G3+G4+G5+G12+G13+G14+G15</f>
        <v>176</v>
      </c>
      <c r="H17" s="602" t="s">
        <v>106</v>
      </c>
      <c r="I17" s="602" t="s">
        <v>106</v>
      </c>
      <c r="J17" s="602">
        <f>J3+J4+J5+J12+J13+J14+J15</f>
        <v>31</v>
      </c>
      <c r="K17" s="602">
        <f t="shared" ref="K17:O17" si="2">K3+K4+K5+K12+K13+K14+K15</f>
        <v>26</v>
      </c>
      <c r="L17" s="602">
        <f t="shared" si="2"/>
        <v>1</v>
      </c>
      <c r="M17" s="602">
        <f t="shared" si="2"/>
        <v>5</v>
      </c>
      <c r="N17" s="602">
        <f t="shared" si="2"/>
        <v>5</v>
      </c>
      <c r="O17" s="602">
        <f t="shared" si="2"/>
        <v>2</v>
      </c>
      <c r="P17" s="602" t="s">
        <v>106</v>
      </c>
      <c r="Q17" s="602" t="s">
        <v>106</v>
      </c>
      <c r="R17" s="602">
        <f>R3+R4+R5+R12+R13+R14+R15</f>
        <v>20</v>
      </c>
      <c r="S17" s="599"/>
      <c r="T17" s="599"/>
      <c r="U17" s="599"/>
      <c r="V17" s="599"/>
      <c r="W17" s="600"/>
      <c r="X17" s="609" t="s">
        <v>173</v>
      </c>
      <c r="Y17" s="602">
        <f t="shared" ref="Y17:AN17" si="3">Y3+Y4+Y5+Y12+Y13+Y14+Y15</f>
        <v>7</v>
      </c>
      <c r="Z17" s="602">
        <f t="shared" si="3"/>
        <v>4</v>
      </c>
      <c r="AA17" s="602">
        <f t="shared" si="3"/>
        <v>1</v>
      </c>
      <c r="AB17" s="602">
        <f t="shared" si="3"/>
        <v>2</v>
      </c>
      <c r="AC17" s="603">
        <f t="shared" si="3"/>
        <v>3</v>
      </c>
      <c r="AD17" s="603">
        <f t="shared" si="3"/>
        <v>1</v>
      </c>
      <c r="AE17" s="603">
        <f t="shared" si="3"/>
        <v>0</v>
      </c>
      <c r="AF17" s="603">
        <f t="shared" si="3"/>
        <v>2</v>
      </c>
      <c r="AG17" s="604">
        <f t="shared" si="3"/>
        <v>4</v>
      </c>
      <c r="AH17" s="604">
        <f t="shared" si="3"/>
        <v>3</v>
      </c>
      <c r="AI17" s="604">
        <f t="shared" si="3"/>
        <v>1</v>
      </c>
      <c r="AJ17" s="604">
        <f t="shared" si="3"/>
        <v>0</v>
      </c>
      <c r="AK17" s="602">
        <f t="shared" si="3"/>
        <v>0</v>
      </c>
      <c r="AL17" s="602">
        <f t="shared" si="3"/>
        <v>0</v>
      </c>
      <c r="AM17" s="602">
        <f t="shared" si="3"/>
        <v>0</v>
      </c>
      <c r="AN17" s="602">
        <f t="shared" si="3"/>
        <v>0</v>
      </c>
    </row>
    <row r="18" spans="1:40" ht="14.95" customHeight="1" thickBot="1" x14ac:dyDescent="0.3">
      <c r="A18" s="310"/>
      <c r="B18" s="311"/>
      <c r="C18" s="760" t="s">
        <v>107</v>
      </c>
      <c r="D18" s="761"/>
      <c r="E18" s="762"/>
      <c r="F18" s="422">
        <f t="shared" ref="F18:R18" si="4">SUM(F3:F15)</f>
        <v>420</v>
      </c>
      <c r="G18" s="422">
        <f t="shared" si="4"/>
        <v>304</v>
      </c>
      <c r="H18" s="422">
        <f t="shared" si="4"/>
        <v>4</v>
      </c>
      <c r="I18" s="422">
        <f t="shared" si="4"/>
        <v>1</v>
      </c>
      <c r="J18" s="422">
        <f t="shared" si="4"/>
        <v>55</v>
      </c>
      <c r="K18" s="422">
        <f t="shared" si="4"/>
        <v>43</v>
      </c>
      <c r="L18" s="422">
        <f t="shared" si="4"/>
        <v>1</v>
      </c>
      <c r="M18" s="422">
        <f t="shared" si="4"/>
        <v>18</v>
      </c>
      <c r="N18" s="422">
        <f t="shared" si="4"/>
        <v>9</v>
      </c>
      <c r="O18" s="422">
        <f t="shared" si="4"/>
        <v>2</v>
      </c>
      <c r="P18" s="422">
        <f t="shared" si="4"/>
        <v>1</v>
      </c>
      <c r="Q18" s="422">
        <f t="shared" si="4"/>
        <v>1</v>
      </c>
      <c r="R18" s="422">
        <f t="shared" si="4"/>
        <v>31</v>
      </c>
      <c r="S18" s="419"/>
      <c r="T18" s="419"/>
      <c r="U18" s="419"/>
      <c r="V18" s="419"/>
      <c r="W18" s="13"/>
      <c r="X18" s="447" t="s">
        <v>107</v>
      </c>
      <c r="Y18" s="422">
        <f t="shared" ref="Y18:AN18" si="5">SUM(Y3:Y15)</f>
        <v>13</v>
      </c>
      <c r="Z18" s="422">
        <f t="shared" si="5"/>
        <v>8</v>
      </c>
      <c r="AA18" s="422">
        <f t="shared" si="5"/>
        <v>1</v>
      </c>
      <c r="AB18" s="422">
        <f t="shared" si="5"/>
        <v>4</v>
      </c>
      <c r="AC18" s="420">
        <f t="shared" si="5"/>
        <v>6</v>
      </c>
      <c r="AD18" s="420">
        <f t="shared" si="5"/>
        <v>3</v>
      </c>
      <c r="AE18" s="420">
        <f t="shared" si="5"/>
        <v>0</v>
      </c>
      <c r="AF18" s="420">
        <f t="shared" si="5"/>
        <v>3</v>
      </c>
      <c r="AG18" s="421">
        <f t="shared" si="5"/>
        <v>7</v>
      </c>
      <c r="AH18" s="421">
        <f t="shared" si="5"/>
        <v>5</v>
      </c>
      <c r="AI18" s="421">
        <f t="shared" si="5"/>
        <v>1</v>
      </c>
      <c r="AJ18" s="421">
        <f t="shared" si="5"/>
        <v>1</v>
      </c>
      <c r="AK18" s="422">
        <f t="shared" si="5"/>
        <v>0</v>
      </c>
      <c r="AL18" s="422">
        <f t="shared" si="5"/>
        <v>0</v>
      </c>
      <c r="AM18" s="422">
        <f t="shared" si="5"/>
        <v>0</v>
      </c>
      <c r="AN18" s="422">
        <f t="shared" si="5"/>
        <v>0</v>
      </c>
    </row>
    <row r="19" spans="1:40" ht="14.95" customHeight="1" x14ac:dyDescent="0.25">
      <c r="A19" s="788" t="s">
        <v>237</v>
      </c>
      <c r="B19" s="743"/>
      <c r="C19" s="743"/>
      <c r="D19" s="743"/>
      <c r="E19" s="743"/>
      <c r="F19" s="743"/>
      <c r="G19" s="743"/>
      <c r="H19" s="743"/>
      <c r="I19" s="743"/>
      <c r="J19" s="743"/>
      <c r="K19" s="743"/>
      <c r="L19" s="743"/>
      <c r="M19" s="743"/>
      <c r="N19" s="743"/>
      <c r="O19" s="743"/>
      <c r="P19" s="743"/>
      <c r="Q19" s="743"/>
      <c r="R19" s="743"/>
    </row>
    <row r="20" spans="1:40" x14ac:dyDescent="0.25">
      <c r="A20" s="788" t="s">
        <v>653</v>
      </c>
      <c r="B20" s="743"/>
      <c r="C20" s="743"/>
      <c r="D20" s="743"/>
      <c r="E20" s="743"/>
      <c r="F20" s="743"/>
      <c r="G20" s="743"/>
      <c r="H20" s="743"/>
      <c r="I20" s="743"/>
      <c r="J20" s="743"/>
      <c r="K20" s="743"/>
      <c r="L20" s="743"/>
      <c r="M20" s="743"/>
      <c r="N20" s="743"/>
      <c r="O20" s="743"/>
      <c r="P20" s="743"/>
      <c r="Q20" s="743"/>
      <c r="R20" s="743"/>
    </row>
    <row r="21" spans="1:40" ht="14.95" customHeight="1" x14ac:dyDescent="0.25">
      <c r="A21" t="s">
        <v>682</v>
      </c>
      <c r="S21" s="204"/>
      <c r="T21" s="204"/>
      <c r="U21" s="204"/>
      <c r="V21" s="204"/>
      <c r="W21" s="204"/>
      <c r="X21" s="204"/>
      <c r="Y21" s="204"/>
      <c r="Z21" s="204"/>
      <c r="AA21" s="204"/>
      <c r="AB21" s="204"/>
      <c r="AC21" s="204"/>
      <c r="AD21" s="204"/>
      <c r="AE21" s="204"/>
      <c r="AF21" s="204"/>
      <c r="AG21" s="204"/>
      <c r="AH21" s="204"/>
      <c r="AI21" s="204"/>
      <c r="AJ21" s="204"/>
      <c r="AK21" s="204"/>
      <c r="AL21" s="204"/>
      <c r="AM21" s="204"/>
      <c r="AN21" s="204"/>
    </row>
    <row r="22" spans="1:40" ht="14.95" customHeight="1" x14ac:dyDescent="0.25">
      <c r="A22" t="s">
        <v>674</v>
      </c>
      <c r="S22" s="204"/>
      <c r="T22" s="204"/>
      <c r="U22" s="204"/>
      <c r="V22" s="204"/>
      <c r="W22" s="204"/>
      <c r="X22" s="204"/>
      <c r="Y22" s="204"/>
      <c r="Z22" s="204"/>
      <c r="AA22" s="204"/>
      <c r="AB22" s="204"/>
      <c r="AC22" s="204"/>
      <c r="AD22" s="204"/>
      <c r="AE22" s="204"/>
      <c r="AF22" s="204"/>
      <c r="AG22" s="204"/>
      <c r="AH22" s="204"/>
      <c r="AI22" s="204"/>
      <c r="AJ22" s="204"/>
      <c r="AK22" s="204"/>
      <c r="AL22" s="204"/>
      <c r="AM22" s="204"/>
      <c r="AN22" s="204"/>
    </row>
    <row r="23" spans="1:40" x14ac:dyDescent="0.25">
      <c r="A23" s="788" t="s">
        <v>719</v>
      </c>
      <c r="B23" s="743"/>
      <c r="C23" s="743"/>
      <c r="D23" s="743"/>
      <c r="E23" s="743"/>
      <c r="F23" s="743"/>
      <c r="G23" s="743"/>
      <c r="H23" s="743"/>
      <c r="I23" s="743"/>
      <c r="J23" s="743"/>
      <c r="K23" s="743"/>
      <c r="L23" s="743"/>
      <c r="M23" s="743"/>
      <c r="N23" s="743"/>
      <c r="O23" s="743"/>
      <c r="P23" s="743"/>
      <c r="Q23" s="743"/>
      <c r="R23" s="743"/>
    </row>
    <row r="24" spans="1:40" x14ac:dyDescent="0.25">
      <c r="A24" s="788" t="s">
        <v>766</v>
      </c>
      <c r="B24" s="743"/>
      <c r="C24" s="743"/>
      <c r="D24" s="743"/>
      <c r="E24" s="743"/>
      <c r="F24" s="743"/>
      <c r="G24" s="743"/>
      <c r="H24" s="743"/>
      <c r="I24" s="743"/>
      <c r="J24" s="743"/>
      <c r="K24" s="743"/>
      <c r="L24" s="743"/>
      <c r="M24" s="743"/>
      <c r="N24" s="743"/>
      <c r="O24" s="743"/>
      <c r="P24" s="743"/>
      <c r="Q24" s="743"/>
      <c r="R24" s="743"/>
    </row>
    <row r="25" spans="1:40" ht="14.95" customHeight="1" x14ac:dyDescent="0.25">
      <c r="A25" t="s">
        <v>726</v>
      </c>
    </row>
    <row r="26" spans="1:40" x14ac:dyDescent="0.25">
      <c r="A26" t="s">
        <v>703</v>
      </c>
    </row>
    <row r="27" spans="1:40" x14ac:dyDescent="0.25">
      <c r="A27" s="155"/>
      <c r="B27" t="s">
        <v>44</v>
      </c>
    </row>
    <row r="28" spans="1:40" x14ac:dyDescent="0.25">
      <c r="A28" s="153"/>
      <c r="B28" t="s">
        <v>42</v>
      </c>
    </row>
    <row r="29" spans="1:40" x14ac:dyDescent="0.25">
      <c r="A29" s="154"/>
      <c r="B29" t="s">
        <v>43</v>
      </c>
    </row>
    <row r="30" spans="1:40" x14ac:dyDescent="0.25">
      <c r="A30" s="15" t="s">
        <v>28</v>
      </c>
    </row>
  </sheetData>
  <mergeCells count="17">
    <mergeCell ref="Y1:AB1"/>
    <mergeCell ref="AC1:AF1"/>
    <mergeCell ref="AG1:AJ1"/>
    <mergeCell ref="AK1:AN1"/>
    <mergeCell ref="N1:O1"/>
    <mergeCell ref="P1:R1"/>
    <mergeCell ref="C18:E18"/>
    <mergeCell ref="A23:R23"/>
    <mergeCell ref="A24:R24"/>
    <mergeCell ref="A1:C1"/>
    <mergeCell ref="E1:G1"/>
    <mergeCell ref="H1:I1"/>
    <mergeCell ref="J1:M1"/>
    <mergeCell ref="C16:E16"/>
    <mergeCell ref="A19:R19"/>
    <mergeCell ref="A20:R20"/>
    <mergeCell ref="C17:E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8"/>
  <sheetViews>
    <sheetView topLeftCell="A141" workbookViewId="0">
      <selection activeCell="B177" sqref="B177"/>
    </sheetView>
  </sheetViews>
  <sheetFormatPr defaultRowHeight="14.3" x14ac:dyDescent="0.25"/>
  <cols>
    <col min="2" max="2" width="19" bestFit="1" customWidth="1"/>
    <col min="3" max="3" width="4.625" customWidth="1"/>
    <col min="4" max="4" width="4" bestFit="1" customWidth="1"/>
    <col min="5" max="5" width="19" bestFit="1" customWidth="1"/>
    <col min="6" max="7" width="3" bestFit="1" customWidth="1"/>
    <col min="8" max="8" width="2" bestFit="1" customWidth="1"/>
    <col min="9" max="9" width="52.125" bestFit="1" customWidth="1"/>
    <col min="10" max="10" width="49.5" bestFit="1" customWidth="1"/>
    <col min="11" max="12" width="10.125" bestFit="1" customWidth="1"/>
  </cols>
  <sheetData>
    <row r="1" spans="1:12" x14ac:dyDescent="0.25">
      <c r="A1" s="669">
        <v>44597</v>
      </c>
      <c r="B1" s="290" t="s">
        <v>123</v>
      </c>
      <c r="C1" s="327">
        <v>34</v>
      </c>
      <c r="D1" s="340">
        <v>25</v>
      </c>
      <c r="E1" s="339" t="s">
        <v>104</v>
      </c>
      <c r="F1" s="328">
        <v>24</v>
      </c>
      <c r="G1" s="328">
        <v>7</v>
      </c>
      <c r="H1" s="340"/>
      <c r="I1" s="339" t="s">
        <v>252</v>
      </c>
      <c r="J1" t="s">
        <v>253</v>
      </c>
      <c r="K1" s="290"/>
      <c r="L1" s="290"/>
    </row>
    <row r="2" spans="1:12" x14ac:dyDescent="0.25">
      <c r="A2" s="669">
        <v>44597</v>
      </c>
      <c r="B2" s="290" t="s">
        <v>124</v>
      </c>
      <c r="C2" s="327">
        <v>43</v>
      </c>
      <c r="D2" s="340">
        <v>0</v>
      </c>
      <c r="E2" s="339" t="s">
        <v>190</v>
      </c>
      <c r="F2" s="328">
        <v>19</v>
      </c>
      <c r="G2" s="328">
        <v>0</v>
      </c>
      <c r="H2" s="340"/>
      <c r="I2" s="339" t="s">
        <v>252</v>
      </c>
      <c r="J2" t="s">
        <v>254</v>
      </c>
      <c r="K2" s="290"/>
      <c r="L2" s="290"/>
    </row>
    <row r="3" spans="1:12" x14ac:dyDescent="0.25">
      <c r="A3" s="669">
        <v>44597</v>
      </c>
      <c r="B3" s="290" t="s">
        <v>39</v>
      </c>
      <c r="C3" s="327">
        <v>29</v>
      </c>
      <c r="D3" s="340">
        <v>7</v>
      </c>
      <c r="E3" s="339" t="s">
        <v>32</v>
      </c>
      <c r="F3" s="328">
        <v>10</v>
      </c>
      <c r="G3" s="328">
        <v>0</v>
      </c>
      <c r="H3" s="340"/>
      <c r="I3" s="339" t="s">
        <v>255</v>
      </c>
      <c r="J3" t="s">
        <v>256</v>
      </c>
      <c r="K3" s="290"/>
      <c r="L3" s="290"/>
    </row>
    <row r="4" spans="1:12" x14ac:dyDescent="0.25">
      <c r="A4" s="669">
        <v>44597</v>
      </c>
      <c r="B4" s="290" t="s">
        <v>35</v>
      </c>
      <c r="C4" s="327">
        <v>20</v>
      </c>
      <c r="D4" s="340">
        <v>17</v>
      </c>
      <c r="E4" s="339" t="s">
        <v>30</v>
      </c>
      <c r="F4" s="328">
        <v>10</v>
      </c>
      <c r="G4" s="328">
        <v>6</v>
      </c>
      <c r="H4" s="340"/>
      <c r="I4" s="339" t="s">
        <v>255</v>
      </c>
      <c r="J4" t="s">
        <v>264</v>
      </c>
      <c r="K4" s="290"/>
      <c r="L4" s="290"/>
    </row>
    <row r="5" spans="1:12" x14ac:dyDescent="0.25">
      <c r="A5" s="669">
        <v>44598</v>
      </c>
      <c r="B5" s="290" t="s">
        <v>273</v>
      </c>
      <c r="C5" s="327">
        <v>25</v>
      </c>
      <c r="D5" s="340">
        <v>25</v>
      </c>
      <c r="E5" s="339" t="s">
        <v>125</v>
      </c>
      <c r="F5" s="328">
        <v>15</v>
      </c>
      <c r="G5" s="328">
        <v>11</v>
      </c>
      <c r="H5" s="340"/>
      <c r="I5" s="339" t="s">
        <v>252</v>
      </c>
      <c r="J5" t="s">
        <v>274</v>
      </c>
      <c r="K5" s="290"/>
      <c r="L5" s="290"/>
    </row>
    <row r="6" spans="1:12" x14ac:dyDescent="0.25">
      <c r="A6" s="669">
        <v>44598</v>
      </c>
      <c r="B6" s="290" t="s">
        <v>34</v>
      </c>
      <c r="C6" s="327">
        <v>37</v>
      </c>
      <c r="D6" s="340">
        <v>10</v>
      </c>
      <c r="E6" s="339" t="s">
        <v>33</v>
      </c>
      <c r="F6" s="328">
        <v>18</v>
      </c>
      <c r="G6" s="328">
        <v>10</v>
      </c>
      <c r="H6" s="340"/>
      <c r="I6" s="339" t="s">
        <v>255</v>
      </c>
      <c r="J6" t="s">
        <v>280</v>
      </c>
      <c r="K6" s="290"/>
      <c r="L6" s="290"/>
    </row>
    <row r="7" spans="1:12" x14ac:dyDescent="0.25">
      <c r="A7" s="669">
        <v>44604</v>
      </c>
      <c r="B7" s="290" t="s">
        <v>104</v>
      </c>
      <c r="C7" s="327">
        <v>37</v>
      </c>
      <c r="D7" s="340">
        <v>41</v>
      </c>
      <c r="E7" s="339" t="s">
        <v>124</v>
      </c>
      <c r="F7" s="328">
        <v>17</v>
      </c>
      <c r="G7" s="328">
        <v>25</v>
      </c>
      <c r="H7" s="340"/>
      <c r="I7" s="339" t="s">
        <v>252</v>
      </c>
      <c r="J7" t="s">
        <v>306</v>
      </c>
      <c r="K7" s="290"/>
      <c r="L7" s="290"/>
    </row>
    <row r="8" spans="1:12" x14ac:dyDescent="0.25">
      <c r="A8" s="669">
        <v>44604</v>
      </c>
      <c r="B8" s="290" t="s">
        <v>190</v>
      </c>
      <c r="C8" s="327">
        <v>10</v>
      </c>
      <c r="D8" s="340">
        <v>72</v>
      </c>
      <c r="E8" s="339" t="s">
        <v>38</v>
      </c>
      <c r="F8" s="328">
        <v>3</v>
      </c>
      <c r="G8" s="328">
        <v>29</v>
      </c>
      <c r="H8" s="340"/>
      <c r="I8" s="339" t="s">
        <v>252</v>
      </c>
      <c r="J8" t="s">
        <v>307</v>
      </c>
      <c r="K8" s="290"/>
      <c r="L8" s="290"/>
    </row>
    <row r="9" spans="1:12" x14ac:dyDescent="0.25">
      <c r="A9" s="669">
        <v>44604</v>
      </c>
      <c r="B9" s="669" t="s">
        <v>32</v>
      </c>
      <c r="C9" s="327">
        <v>20</v>
      </c>
      <c r="D9" s="327">
        <v>17</v>
      </c>
      <c r="E9" s="669" t="s">
        <v>35</v>
      </c>
      <c r="F9" s="327">
        <v>14</v>
      </c>
      <c r="G9" s="327">
        <v>14</v>
      </c>
      <c r="H9" s="669"/>
      <c r="I9" s="669" t="s">
        <v>255</v>
      </c>
      <c r="J9" s="669" t="s">
        <v>308</v>
      </c>
      <c r="K9" s="290"/>
      <c r="L9" s="290"/>
    </row>
    <row r="10" spans="1:12" x14ac:dyDescent="0.25">
      <c r="A10" s="669">
        <v>44604</v>
      </c>
      <c r="B10" s="290" t="s">
        <v>123</v>
      </c>
      <c r="C10" s="327">
        <v>37</v>
      </c>
      <c r="D10" s="340">
        <v>27</v>
      </c>
      <c r="E10" s="339" t="s">
        <v>125</v>
      </c>
      <c r="F10" s="671">
        <v>13</v>
      </c>
      <c r="G10" s="671">
        <v>22</v>
      </c>
      <c r="H10" s="340"/>
      <c r="I10" s="339" t="s">
        <v>252</v>
      </c>
      <c r="J10" t="s">
        <v>253</v>
      </c>
      <c r="K10" s="290"/>
      <c r="L10" s="290"/>
    </row>
    <row r="11" spans="1:12" x14ac:dyDescent="0.25">
      <c r="A11" s="669">
        <v>44604</v>
      </c>
      <c r="B11" s="290" t="s">
        <v>34</v>
      </c>
      <c r="C11" s="327">
        <v>30</v>
      </c>
      <c r="D11" s="340">
        <v>24</v>
      </c>
      <c r="E11" s="339" t="s">
        <v>39</v>
      </c>
      <c r="F11" s="671">
        <v>19</v>
      </c>
      <c r="G11" s="671">
        <v>7</v>
      </c>
      <c r="H11" s="340"/>
      <c r="I11" s="339" t="s">
        <v>255</v>
      </c>
      <c r="J11" t="s">
        <v>280</v>
      </c>
      <c r="K11" s="290"/>
      <c r="L11" s="290"/>
    </row>
    <row r="12" spans="1:12" x14ac:dyDescent="0.25">
      <c r="A12" s="669">
        <v>44605</v>
      </c>
      <c r="B12" s="339" t="s">
        <v>33</v>
      </c>
      <c r="C12" s="327">
        <v>0</v>
      </c>
      <c r="D12" s="340">
        <v>33</v>
      </c>
      <c r="E12" s="339" t="s">
        <v>30</v>
      </c>
      <c r="F12" s="671">
        <v>0</v>
      </c>
      <c r="G12" s="671">
        <v>21</v>
      </c>
      <c r="H12" s="340"/>
      <c r="I12" s="339" t="s">
        <v>255</v>
      </c>
      <c r="J12" t="s">
        <v>319</v>
      </c>
      <c r="K12" s="290"/>
      <c r="L12" s="290"/>
    </row>
    <row r="13" spans="1:12" x14ac:dyDescent="0.25">
      <c r="A13" s="669">
        <v>44618</v>
      </c>
      <c r="B13" s="339" t="s">
        <v>35</v>
      </c>
      <c r="C13" s="327">
        <v>17</v>
      </c>
      <c r="D13" s="340">
        <v>36</v>
      </c>
      <c r="E13" s="339" t="s">
        <v>34</v>
      </c>
      <c r="F13" s="671">
        <v>10</v>
      </c>
      <c r="G13" s="671">
        <v>19</v>
      </c>
      <c r="H13" s="340"/>
      <c r="I13" s="339" t="s">
        <v>255</v>
      </c>
      <c r="J13" t="s">
        <v>264</v>
      </c>
      <c r="K13" s="290"/>
      <c r="L13" s="290"/>
    </row>
    <row r="14" spans="1:12" x14ac:dyDescent="0.25">
      <c r="A14" s="669">
        <v>44618</v>
      </c>
      <c r="B14" s="290" t="s">
        <v>125</v>
      </c>
      <c r="C14" s="327">
        <v>59</v>
      </c>
      <c r="D14" s="340">
        <v>3</v>
      </c>
      <c r="E14" s="339" t="s">
        <v>190</v>
      </c>
      <c r="F14" s="671">
        <v>26</v>
      </c>
      <c r="G14" s="671">
        <v>3</v>
      </c>
      <c r="H14" s="340"/>
      <c r="I14" s="339" t="s">
        <v>252</v>
      </c>
      <c r="J14" t="s">
        <v>320</v>
      </c>
      <c r="K14" s="290"/>
      <c r="L14" s="290"/>
    </row>
    <row r="15" spans="1:12" x14ac:dyDescent="0.25">
      <c r="A15" s="669">
        <v>44618</v>
      </c>
      <c r="B15" s="290" t="s">
        <v>30</v>
      </c>
      <c r="C15" s="327">
        <v>23</v>
      </c>
      <c r="D15" s="340">
        <v>19</v>
      </c>
      <c r="E15" s="339" t="s">
        <v>32</v>
      </c>
      <c r="F15" s="671">
        <v>12</v>
      </c>
      <c r="G15" s="671">
        <v>0</v>
      </c>
      <c r="H15" s="340"/>
      <c r="I15" s="339" t="s">
        <v>255</v>
      </c>
      <c r="J15" t="s">
        <v>326</v>
      </c>
      <c r="K15" s="290"/>
      <c r="L15" s="290"/>
    </row>
    <row r="16" spans="1:12" x14ac:dyDescent="0.25">
      <c r="A16" s="669">
        <v>44619</v>
      </c>
      <c r="B16" s="290" t="s">
        <v>273</v>
      </c>
      <c r="C16" s="671" t="s">
        <v>13</v>
      </c>
      <c r="D16" s="673" t="s">
        <v>13</v>
      </c>
      <c r="E16" s="339" t="s">
        <v>104</v>
      </c>
      <c r="F16" s="671"/>
      <c r="G16" s="671"/>
      <c r="H16" s="340"/>
      <c r="I16" s="339" t="s">
        <v>330</v>
      </c>
      <c r="J16" t="s">
        <v>358</v>
      </c>
      <c r="K16" s="290"/>
      <c r="L16" s="290"/>
    </row>
    <row r="17" spans="1:12" x14ac:dyDescent="0.25">
      <c r="A17" s="669">
        <v>44619</v>
      </c>
      <c r="B17" s="290" t="s">
        <v>124</v>
      </c>
      <c r="C17" s="327">
        <v>38</v>
      </c>
      <c r="D17" s="340">
        <v>21</v>
      </c>
      <c r="E17" s="339" t="s">
        <v>123</v>
      </c>
      <c r="F17" s="671">
        <v>28</v>
      </c>
      <c r="G17" s="671">
        <v>7</v>
      </c>
      <c r="H17" s="340"/>
      <c r="I17" s="339" t="s">
        <v>252</v>
      </c>
      <c r="J17" t="s">
        <v>254</v>
      </c>
      <c r="K17" s="290"/>
      <c r="L17" s="290"/>
    </row>
    <row r="18" spans="1:12" x14ac:dyDescent="0.25">
      <c r="A18" s="669">
        <v>44620</v>
      </c>
      <c r="B18" s="290" t="s">
        <v>39</v>
      </c>
      <c r="C18" s="327">
        <v>57</v>
      </c>
      <c r="D18" s="340">
        <v>6</v>
      </c>
      <c r="E18" s="339" t="s">
        <v>33</v>
      </c>
      <c r="F18" s="671">
        <v>24</v>
      </c>
      <c r="G18" s="671">
        <v>6</v>
      </c>
      <c r="H18" s="340"/>
      <c r="I18" s="339" t="s">
        <v>255</v>
      </c>
      <c r="J18" t="s">
        <v>256</v>
      </c>
      <c r="K18" s="290"/>
      <c r="L18" s="290"/>
    </row>
    <row r="19" spans="1:12" x14ac:dyDescent="0.25">
      <c r="A19" s="669">
        <v>44631</v>
      </c>
      <c r="B19" s="290" t="s">
        <v>32</v>
      </c>
      <c r="C19" s="327">
        <v>9</v>
      </c>
      <c r="D19" s="340">
        <v>13</v>
      </c>
      <c r="E19" s="339" t="s">
        <v>34</v>
      </c>
      <c r="F19" s="671">
        <v>9</v>
      </c>
      <c r="G19" s="671">
        <v>10</v>
      </c>
      <c r="H19" s="340"/>
      <c r="I19" s="339" t="s">
        <v>255</v>
      </c>
      <c r="J19" t="s">
        <v>308</v>
      </c>
      <c r="K19" s="290"/>
      <c r="L19" s="290"/>
    </row>
    <row r="20" spans="1:12" x14ac:dyDescent="0.25">
      <c r="A20" s="669">
        <v>44632</v>
      </c>
      <c r="B20" s="290" t="s">
        <v>104</v>
      </c>
      <c r="C20" s="671" t="s">
        <v>13</v>
      </c>
      <c r="D20" s="673" t="s">
        <v>13</v>
      </c>
      <c r="E20" s="339" t="s">
        <v>190</v>
      </c>
      <c r="F20" s="671"/>
      <c r="G20" s="671"/>
      <c r="H20" s="340"/>
      <c r="I20" s="339" t="s">
        <v>330</v>
      </c>
      <c r="J20" t="s">
        <v>358</v>
      </c>
      <c r="K20" s="290"/>
      <c r="L20" s="290"/>
    </row>
    <row r="21" spans="1:12" x14ac:dyDescent="0.25">
      <c r="A21" s="669">
        <v>44632</v>
      </c>
      <c r="B21" s="290" t="s">
        <v>123</v>
      </c>
      <c r="C21" s="327">
        <v>23</v>
      </c>
      <c r="D21" s="340">
        <v>26</v>
      </c>
      <c r="E21" s="339" t="s">
        <v>38</v>
      </c>
      <c r="F21" s="671">
        <v>13</v>
      </c>
      <c r="G21" s="671">
        <v>21</v>
      </c>
      <c r="H21" s="340"/>
      <c r="I21" s="339" t="s">
        <v>252</v>
      </c>
      <c r="J21" t="s">
        <v>253</v>
      </c>
      <c r="K21" s="290"/>
      <c r="L21" s="290"/>
    </row>
    <row r="22" spans="1:12" x14ac:dyDescent="0.25">
      <c r="A22" s="669">
        <v>44632</v>
      </c>
      <c r="B22" s="290" t="s">
        <v>359</v>
      </c>
      <c r="C22" s="327">
        <v>22</v>
      </c>
      <c r="D22" s="340">
        <v>18</v>
      </c>
      <c r="E22" s="339" t="s">
        <v>361</v>
      </c>
      <c r="F22" s="671"/>
      <c r="G22" s="671"/>
      <c r="H22" s="340"/>
      <c r="I22" s="339" t="s">
        <v>362</v>
      </c>
      <c r="J22" t="s">
        <v>360</v>
      </c>
      <c r="K22" s="290"/>
      <c r="L22" s="290"/>
    </row>
    <row r="23" spans="1:12" x14ac:dyDescent="0.25">
      <c r="A23" s="669">
        <v>44632</v>
      </c>
      <c r="B23" s="290" t="s">
        <v>363</v>
      </c>
      <c r="C23" s="327">
        <v>30</v>
      </c>
      <c r="D23" s="340">
        <v>23</v>
      </c>
      <c r="E23" s="339" t="s">
        <v>364</v>
      </c>
      <c r="F23" s="671"/>
      <c r="G23" s="671"/>
      <c r="H23" s="340"/>
      <c r="I23" s="339" t="s">
        <v>365</v>
      </c>
      <c r="J23" t="s">
        <v>366</v>
      </c>
      <c r="K23" s="290"/>
      <c r="L23" s="290"/>
    </row>
    <row r="24" spans="1:12" x14ac:dyDescent="0.25">
      <c r="A24" s="669">
        <v>44632</v>
      </c>
      <c r="B24" s="290" t="s">
        <v>33</v>
      </c>
      <c r="C24" s="327">
        <v>22</v>
      </c>
      <c r="D24" s="340">
        <v>33</v>
      </c>
      <c r="E24" s="339" t="s">
        <v>35</v>
      </c>
      <c r="F24" s="339">
        <v>10</v>
      </c>
      <c r="G24" s="339">
        <v>19</v>
      </c>
      <c r="H24" s="339"/>
      <c r="I24" s="339" t="s">
        <v>255</v>
      </c>
      <c r="J24" t="s">
        <v>319</v>
      </c>
      <c r="K24" s="290"/>
      <c r="L24" s="290"/>
    </row>
    <row r="25" spans="1:12" x14ac:dyDescent="0.25">
      <c r="A25" s="669">
        <v>44632</v>
      </c>
      <c r="B25" s="290" t="s">
        <v>30</v>
      </c>
      <c r="C25" s="327">
        <v>15</v>
      </c>
      <c r="D25" s="340">
        <v>32</v>
      </c>
      <c r="E25" s="339" t="s">
        <v>39</v>
      </c>
      <c r="F25" s="328">
        <v>9</v>
      </c>
      <c r="G25" s="328">
        <v>15</v>
      </c>
      <c r="H25" s="340"/>
      <c r="I25" s="339" t="s">
        <v>255</v>
      </c>
      <c r="J25" t="s">
        <v>326</v>
      </c>
      <c r="K25" s="290"/>
      <c r="L25" s="290"/>
    </row>
    <row r="26" spans="1:12" x14ac:dyDescent="0.25">
      <c r="A26" s="669">
        <v>44633</v>
      </c>
      <c r="B26" s="290" t="s">
        <v>124</v>
      </c>
      <c r="C26" s="327">
        <v>33</v>
      </c>
      <c r="D26" s="340">
        <v>28</v>
      </c>
      <c r="E26" s="339" t="s">
        <v>125</v>
      </c>
      <c r="F26" s="328">
        <v>24</v>
      </c>
      <c r="G26" s="328">
        <v>17</v>
      </c>
      <c r="H26" s="340"/>
      <c r="I26" s="339" t="s">
        <v>252</v>
      </c>
      <c r="J26" t="s">
        <v>254</v>
      </c>
      <c r="K26" s="290"/>
      <c r="L26" s="290"/>
    </row>
    <row r="27" spans="1:12" x14ac:dyDescent="0.25">
      <c r="A27" s="669">
        <v>44639</v>
      </c>
      <c r="B27" s="290" t="s">
        <v>190</v>
      </c>
      <c r="C27" s="327">
        <v>12</v>
      </c>
      <c r="D27" s="340">
        <v>38</v>
      </c>
      <c r="E27" s="339" t="s">
        <v>123</v>
      </c>
      <c r="F27" s="328">
        <v>12</v>
      </c>
      <c r="G27" s="328">
        <v>26</v>
      </c>
      <c r="H27" s="340"/>
      <c r="I27" s="339" t="s">
        <v>252</v>
      </c>
      <c r="J27" t="s">
        <v>307</v>
      </c>
      <c r="K27" s="290"/>
      <c r="L27" s="290"/>
    </row>
    <row r="28" spans="1:12" x14ac:dyDescent="0.25">
      <c r="A28" s="669">
        <v>44639</v>
      </c>
      <c r="B28" s="290" t="s">
        <v>32</v>
      </c>
      <c r="C28" s="327">
        <v>21</v>
      </c>
      <c r="D28" s="340">
        <v>22</v>
      </c>
      <c r="E28" s="339" t="s">
        <v>33</v>
      </c>
      <c r="F28" s="328">
        <v>7</v>
      </c>
      <c r="G28" s="328">
        <v>12</v>
      </c>
      <c r="H28" s="340"/>
      <c r="I28" s="339" t="s">
        <v>255</v>
      </c>
      <c r="J28" t="s">
        <v>308</v>
      </c>
      <c r="K28" s="290"/>
      <c r="L28" s="290"/>
    </row>
    <row r="29" spans="1:12" x14ac:dyDescent="0.25">
      <c r="A29" s="669">
        <v>44639</v>
      </c>
      <c r="B29" s="290" t="s">
        <v>39</v>
      </c>
      <c r="C29" s="327">
        <v>26</v>
      </c>
      <c r="D29" s="340">
        <v>5</v>
      </c>
      <c r="E29" s="339" t="s">
        <v>35</v>
      </c>
      <c r="F29" s="328">
        <v>14</v>
      </c>
      <c r="G29" s="328">
        <v>5</v>
      </c>
      <c r="H29" s="340"/>
      <c r="I29" s="339" t="s">
        <v>255</v>
      </c>
      <c r="J29" t="s">
        <v>256</v>
      </c>
      <c r="K29" s="290"/>
      <c r="L29" s="290"/>
    </row>
    <row r="30" spans="1:12" x14ac:dyDescent="0.25">
      <c r="A30" s="669">
        <v>44639</v>
      </c>
      <c r="B30" s="290" t="s">
        <v>34</v>
      </c>
      <c r="C30" s="327">
        <v>25</v>
      </c>
      <c r="D30" s="340">
        <v>13</v>
      </c>
      <c r="E30" s="339" t="s">
        <v>30</v>
      </c>
      <c r="F30" s="328">
        <v>18</v>
      </c>
      <c r="G30" s="328">
        <v>6</v>
      </c>
      <c r="H30" s="340"/>
      <c r="I30" s="339" t="s">
        <v>255</v>
      </c>
      <c r="J30" t="s">
        <v>280</v>
      </c>
      <c r="K30" s="290"/>
      <c r="L30" s="290"/>
    </row>
    <row r="31" spans="1:12" x14ac:dyDescent="0.25">
      <c r="A31" s="669">
        <v>44639</v>
      </c>
      <c r="B31" s="290" t="s">
        <v>394</v>
      </c>
      <c r="C31" s="327">
        <v>34</v>
      </c>
      <c r="D31" s="340">
        <v>25</v>
      </c>
      <c r="E31" s="339" t="s">
        <v>359</v>
      </c>
      <c r="F31" s="328">
        <v>19</v>
      </c>
      <c r="G31" s="328">
        <v>15</v>
      </c>
      <c r="H31" s="340"/>
      <c r="I31" s="339" t="s">
        <v>362</v>
      </c>
      <c r="J31" t="s">
        <v>395</v>
      </c>
      <c r="K31" s="290"/>
      <c r="L31" s="290"/>
    </row>
    <row r="32" spans="1:12" x14ac:dyDescent="0.25">
      <c r="A32" s="669">
        <v>44639</v>
      </c>
      <c r="B32" s="290" t="s">
        <v>361</v>
      </c>
      <c r="C32" s="327">
        <v>41</v>
      </c>
      <c r="D32" s="340">
        <v>11</v>
      </c>
      <c r="E32" s="339" t="s">
        <v>396</v>
      </c>
      <c r="F32" s="328">
        <v>22</v>
      </c>
      <c r="G32" s="328">
        <v>6</v>
      </c>
      <c r="H32" s="340"/>
      <c r="I32" s="339" t="s">
        <v>362</v>
      </c>
      <c r="J32" t="s">
        <v>397</v>
      </c>
      <c r="K32" s="290"/>
      <c r="L32" s="290"/>
    </row>
    <row r="33" spans="1:12" x14ac:dyDescent="0.25">
      <c r="A33" s="669">
        <v>44640</v>
      </c>
      <c r="B33" s="290" t="s">
        <v>273</v>
      </c>
      <c r="C33" s="327">
        <v>49</v>
      </c>
      <c r="D33" s="340">
        <v>15</v>
      </c>
      <c r="E33" s="339" t="s">
        <v>124</v>
      </c>
      <c r="F33" s="328">
        <v>18</v>
      </c>
      <c r="G33" s="328">
        <v>8</v>
      </c>
      <c r="H33" s="340"/>
      <c r="I33" s="339" t="s">
        <v>252</v>
      </c>
      <c r="J33" t="s">
        <v>378</v>
      </c>
      <c r="K33" s="290"/>
      <c r="L33" s="290"/>
    </row>
    <row r="34" spans="1:12" x14ac:dyDescent="0.25">
      <c r="A34" s="669">
        <v>44646</v>
      </c>
      <c r="B34" s="290" t="s">
        <v>398</v>
      </c>
      <c r="C34" s="327">
        <v>17</v>
      </c>
      <c r="D34" s="340">
        <v>29</v>
      </c>
      <c r="E34" s="339" t="s">
        <v>361</v>
      </c>
      <c r="F34" s="328">
        <v>12</v>
      </c>
      <c r="G34" s="328">
        <v>7</v>
      </c>
      <c r="H34" s="340"/>
      <c r="I34" s="339" t="s">
        <v>362</v>
      </c>
      <c r="J34" t="s">
        <v>399</v>
      </c>
      <c r="K34" s="290"/>
      <c r="L34" s="290"/>
    </row>
    <row r="35" spans="1:12" x14ac:dyDescent="0.25">
      <c r="A35" s="669">
        <v>44653</v>
      </c>
      <c r="B35" s="290" t="s">
        <v>400</v>
      </c>
      <c r="C35" s="327">
        <v>0</v>
      </c>
      <c r="D35" s="340">
        <v>16</v>
      </c>
      <c r="E35" s="339" t="s">
        <v>401</v>
      </c>
      <c r="F35" s="328">
        <v>0</v>
      </c>
      <c r="G35" s="328">
        <v>8</v>
      </c>
      <c r="H35" s="340"/>
      <c r="I35" s="339" t="s">
        <v>402</v>
      </c>
      <c r="J35" t="s">
        <v>403</v>
      </c>
      <c r="K35" s="290"/>
      <c r="L35" s="290"/>
    </row>
    <row r="36" spans="1:12" x14ac:dyDescent="0.25">
      <c r="A36" s="669">
        <v>44653</v>
      </c>
      <c r="B36" s="290" t="s">
        <v>404</v>
      </c>
      <c r="C36" s="327">
        <v>7</v>
      </c>
      <c r="D36" s="340">
        <v>3</v>
      </c>
      <c r="E36" s="339" t="s">
        <v>405</v>
      </c>
      <c r="F36" s="328">
        <v>7</v>
      </c>
      <c r="G36" s="328">
        <v>3</v>
      </c>
      <c r="H36" s="340"/>
      <c r="I36" s="339" t="s">
        <v>402</v>
      </c>
      <c r="J36" t="s">
        <v>406</v>
      </c>
      <c r="K36" s="290"/>
      <c r="L36" s="290"/>
    </row>
    <row r="37" spans="1:12" x14ac:dyDescent="0.25">
      <c r="A37" s="669">
        <v>44653</v>
      </c>
      <c r="B37" s="290" t="s">
        <v>407</v>
      </c>
      <c r="C37" s="327">
        <v>13</v>
      </c>
      <c r="D37" s="340">
        <v>17</v>
      </c>
      <c r="E37" s="339" t="s">
        <v>408</v>
      </c>
      <c r="F37" s="339">
        <v>10</v>
      </c>
      <c r="G37" s="328">
        <v>6</v>
      </c>
      <c r="H37" s="339"/>
      <c r="I37" s="339" t="s">
        <v>409</v>
      </c>
      <c r="J37" t="s">
        <v>410</v>
      </c>
      <c r="K37" s="290"/>
      <c r="L37" s="290"/>
    </row>
    <row r="38" spans="1:12" x14ac:dyDescent="0.25">
      <c r="A38" s="669">
        <v>44653</v>
      </c>
      <c r="B38" s="290" t="s">
        <v>411</v>
      </c>
      <c r="C38" s="327">
        <v>32</v>
      </c>
      <c r="D38" s="340">
        <v>9</v>
      </c>
      <c r="E38" s="339" t="s">
        <v>363</v>
      </c>
      <c r="F38" s="328">
        <v>7</v>
      </c>
      <c r="G38" s="328">
        <v>9</v>
      </c>
      <c r="H38" s="340"/>
      <c r="I38" s="339" t="s">
        <v>365</v>
      </c>
      <c r="J38" t="s">
        <v>412</v>
      </c>
      <c r="K38" s="290"/>
      <c r="L38" s="290"/>
    </row>
    <row r="39" spans="1:12" x14ac:dyDescent="0.25">
      <c r="A39" s="669">
        <v>44660</v>
      </c>
      <c r="B39" s="290" t="s">
        <v>396</v>
      </c>
      <c r="C39" s="327">
        <v>43</v>
      </c>
      <c r="D39" s="340">
        <v>10</v>
      </c>
      <c r="E39" s="339" t="s">
        <v>398</v>
      </c>
      <c r="F39" s="328">
        <v>26</v>
      </c>
      <c r="G39" s="328">
        <v>5</v>
      </c>
      <c r="H39" s="340"/>
      <c r="I39" s="339" t="s">
        <v>362</v>
      </c>
      <c r="J39" t="s">
        <v>413</v>
      </c>
      <c r="K39" s="290"/>
      <c r="L39" s="290"/>
    </row>
    <row r="40" spans="1:12" x14ac:dyDescent="0.25">
      <c r="A40" s="669">
        <v>44660</v>
      </c>
      <c r="B40" s="290" t="s">
        <v>401</v>
      </c>
      <c r="C40" s="327">
        <v>19</v>
      </c>
      <c r="D40" s="340">
        <v>27</v>
      </c>
      <c r="E40" s="339" t="s">
        <v>404</v>
      </c>
      <c r="F40" s="328">
        <v>12</v>
      </c>
      <c r="G40" s="328">
        <v>15</v>
      </c>
      <c r="H40" s="340"/>
      <c r="I40" s="339" t="s">
        <v>402</v>
      </c>
      <c r="J40" t="s">
        <v>414</v>
      </c>
      <c r="K40" s="290"/>
      <c r="L40" s="290"/>
    </row>
    <row r="41" spans="1:12" x14ac:dyDescent="0.25">
      <c r="A41" s="669">
        <v>44667</v>
      </c>
      <c r="B41" s="290" t="s">
        <v>405</v>
      </c>
      <c r="C41" s="327">
        <v>27</v>
      </c>
      <c r="D41" s="340">
        <v>10</v>
      </c>
      <c r="E41" s="339" t="s">
        <v>415</v>
      </c>
      <c r="F41" s="328">
        <v>24</v>
      </c>
      <c r="G41" s="328">
        <v>3</v>
      </c>
      <c r="H41" s="340"/>
      <c r="I41" s="339" t="s">
        <v>402</v>
      </c>
      <c r="J41" s="339" t="s">
        <v>416</v>
      </c>
      <c r="K41" s="290"/>
      <c r="L41" s="290"/>
    </row>
    <row r="42" spans="1:12" x14ac:dyDescent="0.25">
      <c r="A42" s="669">
        <v>44667</v>
      </c>
      <c r="B42" s="290" t="s">
        <v>417</v>
      </c>
      <c r="C42" s="327">
        <v>24</v>
      </c>
      <c r="D42" s="340">
        <v>18</v>
      </c>
      <c r="E42" s="339" t="s">
        <v>407</v>
      </c>
      <c r="F42" s="328">
        <v>19</v>
      </c>
      <c r="G42" s="328">
        <v>3</v>
      </c>
      <c r="H42" s="340"/>
      <c r="I42" s="339" t="s">
        <v>409</v>
      </c>
      <c r="J42" t="s">
        <v>418</v>
      </c>
      <c r="K42" s="290"/>
      <c r="L42" s="290"/>
    </row>
    <row r="43" spans="1:12" x14ac:dyDescent="0.25">
      <c r="A43" s="669">
        <v>44674</v>
      </c>
      <c r="B43" s="290" t="s">
        <v>411</v>
      </c>
      <c r="C43" s="327">
        <v>25</v>
      </c>
      <c r="D43" s="340">
        <v>46</v>
      </c>
      <c r="E43" s="339" t="s">
        <v>419</v>
      </c>
      <c r="F43" s="328"/>
      <c r="G43" s="328"/>
      <c r="H43" s="340"/>
      <c r="I43" s="339" t="s">
        <v>365</v>
      </c>
      <c r="J43" t="s">
        <v>412</v>
      </c>
      <c r="K43" s="290"/>
      <c r="L43" s="290"/>
    </row>
    <row r="44" spans="1:12" x14ac:dyDescent="0.25">
      <c r="A44" s="669">
        <v>44688</v>
      </c>
      <c r="B44" s="290" t="s">
        <v>420</v>
      </c>
      <c r="C44" s="327">
        <v>19</v>
      </c>
      <c r="D44" s="340">
        <v>38</v>
      </c>
      <c r="E44" s="339" t="s">
        <v>417</v>
      </c>
      <c r="F44" s="328">
        <v>12</v>
      </c>
      <c r="G44" s="328">
        <v>20</v>
      </c>
      <c r="H44" s="340"/>
      <c r="I44" s="339" t="s">
        <v>409</v>
      </c>
      <c r="J44" t="s">
        <v>421</v>
      </c>
      <c r="K44" s="290"/>
      <c r="L44" s="290"/>
    </row>
    <row r="45" spans="1:12" x14ac:dyDescent="0.25">
      <c r="A45" s="669">
        <v>44688</v>
      </c>
      <c r="B45" s="290" t="s">
        <v>408</v>
      </c>
      <c r="C45" s="327">
        <v>54</v>
      </c>
      <c r="D45" s="340">
        <v>13</v>
      </c>
      <c r="E45" s="339" t="s">
        <v>422</v>
      </c>
      <c r="F45" s="328"/>
      <c r="G45" s="328"/>
      <c r="H45" s="340"/>
      <c r="I45" s="339" t="s">
        <v>409</v>
      </c>
      <c r="J45" t="s">
        <v>423</v>
      </c>
      <c r="K45" s="290"/>
      <c r="L45" s="290"/>
    </row>
    <row r="46" spans="1:12" x14ac:dyDescent="0.25">
      <c r="A46" s="669">
        <v>44688</v>
      </c>
      <c r="B46" s="290" t="s">
        <v>364</v>
      </c>
      <c r="C46" s="327">
        <v>25</v>
      </c>
      <c r="D46" s="340">
        <v>29</v>
      </c>
      <c r="E46" s="339" t="s">
        <v>419</v>
      </c>
      <c r="F46" s="730"/>
      <c r="G46" s="730"/>
      <c r="H46" s="730"/>
      <c r="I46" s="339" t="s">
        <v>365</v>
      </c>
      <c r="J46" t="s">
        <v>424</v>
      </c>
      <c r="K46" s="290"/>
      <c r="L46" s="290"/>
    </row>
    <row r="47" spans="1:12" x14ac:dyDescent="0.25">
      <c r="A47" s="669">
        <v>44688</v>
      </c>
      <c r="B47" s="290" t="s">
        <v>425</v>
      </c>
      <c r="C47" s="327">
        <v>54</v>
      </c>
      <c r="D47" s="340">
        <v>17</v>
      </c>
      <c r="E47" s="339" t="s">
        <v>411</v>
      </c>
      <c r="F47" s="328"/>
      <c r="G47" s="328"/>
      <c r="H47" s="340"/>
      <c r="I47" s="339" t="s">
        <v>365</v>
      </c>
      <c r="J47" t="s">
        <v>426</v>
      </c>
      <c r="K47" s="290"/>
      <c r="L47" s="290"/>
    </row>
    <row r="48" spans="1:12" x14ac:dyDescent="0.25">
      <c r="A48" s="669">
        <v>44688</v>
      </c>
      <c r="B48" s="290" t="s">
        <v>427</v>
      </c>
      <c r="C48" s="327">
        <v>3</v>
      </c>
      <c r="D48" s="340">
        <v>24</v>
      </c>
      <c r="E48" s="339" t="s">
        <v>428</v>
      </c>
      <c r="F48" s="328"/>
      <c r="G48" s="328"/>
      <c r="H48" s="340"/>
      <c r="I48" s="339" t="s">
        <v>429</v>
      </c>
      <c r="J48" t="s">
        <v>430</v>
      </c>
      <c r="K48" s="290"/>
      <c r="L48" s="290"/>
    </row>
    <row r="49" spans="1:12" x14ac:dyDescent="0.25">
      <c r="A49" s="669">
        <v>44688</v>
      </c>
      <c r="B49" s="290" t="s">
        <v>431</v>
      </c>
      <c r="C49" s="327">
        <v>19</v>
      </c>
      <c r="D49" s="340">
        <v>27</v>
      </c>
      <c r="E49" s="339" t="s">
        <v>432</v>
      </c>
      <c r="F49" s="328"/>
      <c r="G49" s="328"/>
      <c r="H49" s="340"/>
      <c r="I49" s="339" t="s">
        <v>429</v>
      </c>
      <c r="J49" t="s">
        <v>433</v>
      </c>
      <c r="K49" s="290"/>
      <c r="L49" s="290"/>
    </row>
    <row r="50" spans="1:12" x14ac:dyDescent="0.25">
      <c r="A50" s="669">
        <v>44695</v>
      </c>
      <c r="B50" s="290" t="s">
        <v>419</v>
      </c>
      <c r="C50" s="327">
        <v>28</v>
      </c>
      <c r="D50" s="340">
        <v>18</v>
      </c>
      <c r="E50" s="339" t="s">
        <v>425</v>
      </c>
      <c r="F50" s="328">
        <v>3</v>
      </c>
      <c r="G50" s="328">
        <v>6</v>
      </c>
      <c r="H50" s="339"/>
      <c r="I50" s="339" t="s">
        <v>365</v>
      </c>
      <c r="J50" t="s">
        <v>434</v>
      </c>
      <c r="K50" s="290"/>
      <c r="L50" s="290"/>
    </row>
    <row r="51" spans="1:12" x14ac:dyDescent="0.25">
      <c r="A51" s="669">
        <v>44702</v>
      </c>
      <c r="B51" s="290" t="s">
        <v>422</v>
      </c>
      <c r="C51" s="327">
        <v>19</v>
      </c>
      <c r="D51" s="340">
        <v>19</v>
      </c>
      <c r="E51" s="339" t="s">
        <v>420</v>
      </c>
      <c r="F51" s="328">
        <v>0</v>
      </c>
      <c r="G51" s="328">
        <v>7</v>
      </c>
      <c r="H51" s="340"/>
      <c r="I51" s="339" t="s">
        <v>409</v>
      </c>
      <c r="J51" t="s">
        <v>435</v>
      </c>
      <c r="K51" s="290"/>
      <c r="L51" s="290"/>
    </row>
    <row r="52" spans="1:12" x14ac:dyDescent="0.25">
      <c r="A52" s="669">
        <v>44710</v>
      </c>
      <c r="B52" s="290" t="s">
        <v>436</v>
      </c>
      <c r="C52" s="327">
        <v>15</v>
      </c>
      <c r="D52" s="340">
        <v>20</v>
      </c>
      <c r="E52" s="339" t="s">
        <v>437</v>
      </c>
      <c r="F52" s="328">
        <v>7</v>
      </c>
      <c r="G52" s="328">
        <v>6</v>
      </c>
      <c r="H52" s="340"/>
      <c r="I52" s="339" t="s">
        <v>438</v>
      </c>
      <c r="J52" t="s">
        <v>439</v>
      </c>
      <c r="K52" s="290"/>
      <c r="L52" s="290"/>
    </row>
    <row r="53" spans="1:12" x14ac:dyDescent="0.25">
      <c r="A53" s="669">
        <v>44713</v>
      </c>
      <c r="B53" s="290" t="s">
        <v>436</v>
      </c>
      <c r="C53" s="327">
        <v>24</v>
      </c>
      <c r="D53" s="340">
        <v>18</v>
      </c>
      <c r="E53" s="339" t="s">
        <v>437</v>
      </c>
      <c r="F53" s="328">
        <v>22</v>
      </c>
      <c r="G53" s="328">
        <v>3</v>
      </c>
      <c r="H53" s="340"/>
      <c r="I53" s="339" t="s">
        <v>438</v>
      </c>
      <c r="J53" t="s">
        <v>439</v>
      </c>
      <c r="K53" s="290"/>
      <c r="L53" s="290"/>
    </row>
    <row r="54" spans="1:12" x14ac:dyDescent="0.25">
      <c r="A54" s="669">
        <v>44716</v>
      </c>
      <c r="B54" s="290" t="s">
        <v>440</v>
      </c>
      <c r="C54" s="327">
        <v>55</v>
      </c>
      <c r="D54" s="340">
        <v>10</v>
      </c>
      <c r="E54" s="339" t="s">
        <v>441</v>
      </c>
      <c r="F54" s="328">
        <v>22</v>
      </c>
      <c r="G54" s="328">
        <v>3</v>
      </c>
      <c r="H54" s="340"/>
      <c r="I54" s="339" t="s">
        <v>442</v>
      </c>
      <c r="J54" t="s">
        <v>443</v>
      </c>
      <c r="K54" s="290"/>
      <c r="L54" s="290"/>
    </row>
    <row r="55" spans="1:12" x14ac:dyDescent="0.25">
      <c r="A55" s="669">
        <v>44730</v>
      </c>
      <c r="B55" s="290" t="s">
        <v>36</v>
      </c>
      <c r="C55" s="327">
        <v>34</v>
      </c>
      <c r="D55" s="340">
        <v>15</v>
      </c>
      <c r="E55" s="339" t="s">
        <v>105</v>
      </c>
      <c r="F55" s="328">
        <v>15</v>
      </c>
      <c r="G55" s="328">
        <v>3</v>
      </c>
      <c r="H55" s="340"/>
      <c r="I55" s="339" t="s">
        <v>461</v>
      </c>
      <c r="J55" t="s">
        <v>445</v>
      </c>
      <c r="K55" s="290"/>
      <c r="L55" s="290"/>
    </row>
    <row r="56" spans="1:12" x14ac:dyDescent="0.25">
      <c r="A56" s="669">
        <v>44737</v>
      </c>
      <c r="B56" s="290" t="s">
        <v>36</v>
      </c>
      <c r="C56" s="327">
        <v>43</v>
      </c>
      <c r="D56" s="340">
        <v>7</v>
      </c>
      <c r="E56" s="339" t="s">
        <v>105</v>
      </c>
      <c r="F56" s="328">
        <v>19</v>
      </c>
      <c r="G56" s="328">
        <v>0</v>
      </c>
      <c r="H56" s="340"/>
      <c r="I56" s="339" t="s">
        <v>462</v>
      </c>
      <c r="J56" t="s">
        <v>463</v>
      </c>
      <c r="K56" s="290"/>
      <c r="L56" s="290"/>
    </row>
    <row r="57" spans="1:12" x14ac:dyDescent="0.25">
      <c r="A57" s="669">
        <v>44737</v>
      </c>
      <c r="B57" s="290" t="s">
        <v>190</v>
      </c>
      <c r="C57" s="327">
        <v>7</v>
      </c>
      <c r="D57" s="340">
        <v>30</v>
      </c>
      <c r="E57" s="339" t="s">
        <v>157</v>
      </c>
      <c r="F57" s="328">
        <v>7</v>
      </c>
      <c r="G57" s="328">
        <v>18</v>
      </c>
      <c r="H57" s="340"/>
      <c r="I57" s="339" t="s">
        <v>444</v>
      </c>
      <c r="J57" t="s">
        <v>307</v>
      </c>
      <c r="K57" s="290"/>
      <c r="L57" s="290"/>
    </row>
    <row r="58" spans="1:12" x14ac:dyDescent="0.25">
      <c r="A58" s="669">
        <v>44737</v>
      </c>
      <c r="B58" s="290" t="s">
        <v>125</v>
      </c>
      <c r="C58" s="327">
        <v>31</v>
      </c>
      <c r="D58" s="340">
        <v>38</v>
      </c>
      <c r="E58" s="339" t="s">
        <v>33</v>
      </c>
      <c r="F58" s="328">
        <v>17</v>
      </c>
      <c r="G58" s="328">
        <v>10</v>
      </c>
      <c r="H58" s="340"/>
      <c r="I58" s="339" t="s">
        <v>444</v>
      </c>
      <c r="J58" t="s">
        <v>453</v>
      </c>
      <c r="K58" s="290"/>
      <c r="L58" s="290"/>
    </row>
    <row r="59" spans="1:12" x14ac:dyDescent="0.25">
      <c r="A59" s="669">
        <v>44743</v>
      </c>
      <c r="B59" s="290" t="s">
        <v>122</v>
      </c>
      <c r="C59" s="327">
        <v>71</v>
      </c>
      <c r="D59" s="340">
        <v>5</v>
      </c>
      <c r="E59" s="339" t="s">
        <v>473</v>
      </c>
      <c r="F59" s="328">
        <v>24</v>
      </c>
      <c r="G59" s="328">
        <v>0</v>
      </c>
      <c r="H59" s="340"/>
      <c r="I59" s="339" t="s">
        <v>483</v>
      </c>
      <c r="J59" t="s">
        <v>474</v>
      </c>
      <c r="K59" s="290"/>
      <c r="L59" s="290"/>
    </row>
    <row r="60" spans="1:12" x14ac:dyDescent="0.25">
      <c r="A60" s="669">
        <v>44743</v>
      </c>
      <c r="B60" s="290" t="s">
        <v>157</v>
      </c>
      <c r="C60" s="327">
        <v>38</v>
      </c>
      <c r="D60" s="340">
        <v>11</v>
      </c>
      <c r="E60" s="339" t="s">
        <v>482</v>
      </c>
      <c r="F60" s="328">
        <v>16</v>
      </c>
      <c r="G60" s="328">
        <v>6</v>
      </c>
      <c r="H60" s="340"/>
      <c r="I60" s="339" t="s">
        <v>483</v>
      </c>
      <c r="J60" t="s">
        <v>474</v>
      </c>
      <c r="K60" s="290"/>
      <c r="L60" s="290"/>
    </row>
    <row r="61" spans="1:12" x14ac:dyDescent="0.25">
      <c r="A61" s="669">
        <v>44743</v>
      </c>
      <c r="B61" s="290" t="s">
        <v>123</v>
      </c>
      <c r="C61" s="327">
        <v>13</v>
      </c>
      <c r="D61" s="340">
        <v>45</v>
      </c>
      <c r="E61" s="339" t="s">
        <v>33</v>
      </c>
      <c r="F61" s="328">
        <v>6</v>
      </c>
      <c r="G61" s="328">
        <v>19</v>
      </c>
      <c r="H61" s="340"/>
      <c r="I61" s="339" t="s">
        <v>444</v>
      </c>
      <c r="J61" t="s">
        <v>253</v>
      </c>
      <c r="K61" s="290"/>
      <c r="L61" s="290"/>
    </row>
    <row r="62" spans="1:12" x14ac:dyDescent="0.25">
      <c r="A62" s="669">
        <v>44744</v>
      </c>
      <c r="B62" s="290" t="s">
        <v>484</v>
      </c>
      <c r="C62" s="327">
        <v>7</v>
      </c>
      <c r="D62" s="340">
        <v>42</v>
      </c>
      <c r="E62" s="339" t="s">
        <v>485</v>
      </c>
      <c r="F62" s="328">
        <v>0</v>
      </c>
      <c r="G62" s="328">
        <v>28</v>
      </c>
      <c r="H62" s="340"/>
      <c r="I62" s="339" t="s">
        <v>483</v>
      </c>
      <c r="J62" t="s">
        <v>486</v>
      </c>
      <c r="K62" s="290"/>
      <c r="L62" s="290"/>
    </row>
    <row r="63" spans="1:12" x14ac:dyDescent="0.25">
      <c r="A63" s="669">
        <v>44744</v>
      </c>
      <c r="B63" s="290" t="s">
        <v>487</v>
      </c>
      <c r="C63" s="327">
        <v>12</v>
      </c>
      <c r="D63" s="340">
        <v>35</v>
      </c>
      <c r="E63" s="339" t="s">
        <v>488</v>
      </c>
      <c r="F63" s="328">
        <v>12</v>
      </c>
      <c r="G63" s="328">
        <v>13</v>
      </c>
      <c r="H63" s="340"/>
      <c r="I63" s="339" t="s">
        <v>483</v>
      </c>
      <c r="J63" t="s">
        <v>486</v>
      </c>
      <c r="K63" s="290"/>
      <c r="L63" s="290"/>
    </row>
    <row r="64" spans="1:12" x14ac:dyDescent="0.25">
      <c r="A64" s="669">
        <v>44744</v>
      </c>
      <c r="B64" s="290" t="s">
        <v>31</v>
      </c>
      <c r="C64" s="327">
        <v>36</v>
      </c>
      <c r="D64" s="340">
        <v>0</v>
      </c>
      <c r="E64" s="339" t="s">
        <v>119</v>
      </c>
      <c r="F64" s="328">
        <v>22</v>
      </c>
      <c r="G64" s="328">
        <v>0</v>
      </c>
      <c r="H64" s="340"/>
      <c r="I64" s="339" t="s">
        <v>601</v>
      </c>
      <c r="J64" t="s">
        <v>489</v>
      </c>
      <c r="K64" s="290"/>
      <c r="L64" s="290"/>
    </row>
    <row r="65" spans="1:12" x14ac:dyDescent="0.25">
      <c r="A65" s="669">
        <v>44744</v>
      </c>
      <c r="B65" s="290" t="s">
        <v>36</v>
      </c>
      <c r="C65" s="327">
        <v>23</v>
      </c>
      <c r="D65" s="340">
        <v>42</v>
      </c>
      <c r="E65" s="339" t="s">
        <v>34</v>
      </c>
      <c r="F65" s="328">
        <v>13</v>
      </c>
      <c r="G65" s="328">
        <v>13</v>
      </c>
      <c r="H65" s="340"/>
      <c r="I65" s="339" t="s">
        <v>461</v>
      </c>
      <c r="J65" t="s">
        <v>502</v>
      </c>
      <c r="K65" s="290"/>
      <c r="L65" s="290"/>
    </row>
    <row r="66" spans="1:12" x14ac:dyDescent="0.25">
      <c r="A66" s="669">
        <v>44744</v>
      </c>
      <c r="B66" s="290" t="s">
        <v>127</v>
      </c>
      <c r="C66" s="327">
        <v>42</v>
      </c>
      <c r="D66" s="340">
        <v>19</v>
      </c>
      <c r="E66" s="339" t="s">
        <v>39</v>
      </c>
      <c r="F66" s="328">
        <v>28</v>
      </c>
      <c r="G66" s="328">
        <v>5</v>
      </c>
      <c r="H66" s="340"/>
      <c r="I66" s="339" t="s">
        <v>461</v>
      </c>
      <c r="J66" t="s">
        <v>503</v>
      </c>
      <c r="K66" s="290"/>
      <c r="L66" s="290"/>
    </row>
    <row r="67" spans="1:12" x14ac:dyDescent="0.25">
      <c r="A67" s="669">
        <v>44744</v>
      </c>
      <c r="B67" s="290" t="s">
        <v>29</v>
      </c>
      <c r="C67" s="327">
        <v>30</v>
      </c>
      <c r="D67" s="340">
        <v>28</v>
      </c>
      <c r="E67" s="339" t="s">
        <v>30</v>
      </c>
      <c r="F67" s="328">
        <v>6</v>
      </c>
      <c r="G67" s="328">
        <v>6</v>
      </c>
      <c r="H67" s="340"/>
      <c r="I67" s="339" t="s">
        <v>507</v>
      </c>
      <c r="J67" t="s">
        <v>508</v>
      </c>
      <c r="K67" s="290"/>
      <c r="L67" s="290"/>
    </row>
    <row r="68" spans="1:12" x14ac:dyDescent="0.25">
      <c r="A68" s="669">
        <v>44744</v>
      </c>
      <c r="B68" s="290" t="s">
        <v>126</v>
      </c>
      <c r="C68" s="327">
        <v>32</v>
      </c>
      <c r="D68" s="340">
        <v>29</v>
      </c>
      <c r="E68" s="339" t="s">
        <v>32</v>
      </c>
      <c r="F68" s="328">
        <v>3</v>
      </c>
      <c r="G68" s="328">
        <v>18</v>
      </c>
      <c r="H68" s="340"/>
      <c r="I68" s="339" t="s">
        <v>521</v>
      </c>
      <c r="J68" t="s">
        <v>522</v>
      </c>
      <c r="K68" s="290"/>
      <c r="L68" s="290"/>
    </row>
    <row r="69" spans="1:12" x14ac:dyDescent="0.25">
      <c r="A69" s="669">
        <v>44744</v>
      </c>
      <c r="B69" s="290" t="s">
        <v>40</v>
      </c>
      <c r="C69" s="327">
        <v>45</v>
      </c>
      <c r="D69" s="340">
        <v>0</v>
      </c>
      <c r="E69" s="339" t="s">
        <v>361</v>
      </c>
      <c r="F69" s="328">
        <v>10</v>
      </c>
      <c r="G69" s="328">
        <v>0</v>
      </c>
      <c r="H69" s="340"/>
      <c r="I69" s="339" t="s">
        <v>444</v>
      </c>
      <c r="J69" s="339" t="s">
        <v>523</v>
      </c>
      <c r="K69" s="290"/>
      <c r="L69" s="290"/>
    </row>
    <row r="70" spans="1:12" x14ac:dyDescent="0.25">
      <c r="A70" s="669">
        <v>44744</v>
      </c>
      <c r="B70" s="290" t="s">
        <v>37</v>
      </c>
      <c r="C70" s="327">
        <v>26</v>
      </c>
      <c r="D70" s="340">
        <v>18</v>
      </c>
      <c r="E70" s="339" t="s">
        <v>35</v>
      </c>
      <c r="F70" s="339">
        <v>18</v>
      </c>
      <c r="G70" s="328">
        <v>6</v>
      </c>
      <c r="H70" s="339"/>
      <c r="I70" s="339" t="s">
        <v>461</v>
      </c>
      <c r="J70" t="s">
        <v>528</v>
      </c>
      <c r="K70" s="290"/>
      <c r="L70" s="290"/>
    </row>
    <row r="71" spans="1:12" x14ac:dyDescent="0.25">
      <c r="A71" s="669">
        <v>44748</v>
      </c>
      <c r="B71" s="290" t="s">
        <v>484</v>
      </c>
      <c r="C71" s="327">
        <v>30</v>
      </c>
      <c r="D71" s="340">
        <v>29</v>
      </c>
      <c r="E71" s="339" t="s">
        <v>487</v>
      </c>
      <c r="F71" s="328">
        <v>14</v>
      </c>
      <c r="G71" s="328">
        <v>14</v>
      </c>
      <c r="H71" s="340"/>
      <c r="I71" s="339" t="s">
        <v>529</v>
      </c>
      <c r="J71" t="s">
        <v>474</v>
      </c>
      <c r="K71" s="290"/>
      <c r="L71" s="290"/>
    </row>
    <row r="72" spans="1:12" x14ac:dyDescent="0.25">
      <c r="A72" s="669">
        <v>44748</v>
      </c>
      <c r="B72" s="290" t="s">
        <v>485</v>
      </c>
      <c r="C72" s="327">
        <v>36</v>
      </c>
      <c r="D72" s="340">
        <v>33</v>
      </c>
      <c r="E72" s="339" t="s">
        <v>488</v>
      </c>
      <c r="F72" s="328">
        <v>21</v>
      </c>
      <c r="G72" s="328">
        <v>14</v>
      </c>
      <c r="H72" s="340"/>
      <c r="I72" s="339" t="s">
        <v>530</v>
      </c>
      <c r="J72" t="s">
        <v>474</v>
      </c>
      <c r="K72" s="290"/>
      <c r="L72" s="290"/>
    </row>
    <row r="73" spans="1:12" x14ac:dyDescent="0.25">
      <c r="A73" s="669">
        <v>44748</v>
      </c>
      <c r="B73" s="290" t="s">
        <v>473</v>
      </c>
      <c r="C73" s="327">
        <v>17</v>
      </c>
      <c r="D73" s="340">
        <v>38</v>
      </c>
      <c r="E73" s="339" t="s">
        <v>482</v>
      </c>
      <c r="F73" s="328">
        <v>17</v>
      </c>
      <c r="G73" s="328">
        <v>12</v>
      </c>
      <c r="H73" s="340"/>
      <c r="I73" s="339" t="s">
        <v>529</v>
      </c>
      <c r="J73" t="s">
        <v>486</v>
      </c>
      <c r="K73" s="290"/>
      <c r="L73" s="290"/>
    </row>
    <row r="74" spans="1:12" x14ac:dyDescent="0.25">
      <c r="A74" s="669">
        <v>44748</v>
      </c>
      <c r="B74" s="290" t="s">
        <v>122</v>
      </c>
      <c r="C74" s="327">
        <v>34</v>
      </c>
      <c r="D74" s="340">
        <v>19</v>
      </c>
      <c r="E74" s="339" t="s">
        <v>157</v>
      </c>
      <c r="F74" s="328">
        <v>14</v>
      </c>
      <c r="G74" s="328">
        <v>5</v>
      </c>
      <c r="H74" s="340"/>
      <c r="I74" s="339" t="s">
        <v>530</v>
      </c>
      <c r="J74" t="s">
        <v>486</v>
      </c>
      <c r="K74" s="290"/>
      <c r="L74" s="290"/>
    </row>
    <row r="75" spans="1:12" x14ac:dyDescent="0.25">
      <c r="A75" s="669">
        <v>44751</v>
      </c>
      <c r="B75" s="290" t="s">
        <v>120</v>
      </c>
      <c r="C75" s="327">
        <v>34</v>
      </c>
      <c r="D75" s="340">
        <v>18</v>
      </c>
      <c r="E75" s="339" t="s">
        <v>119</v>
      </c>
      <c r="F75" s="328">
        <v>10</v>
      </c>
      <c r="G75" s="328">
        <v>18</v>
      </c>
      <c r="H75" s="340"/>
      <c r="I75" s="339" t="s">
        <v>602</v>
      </c>
      <c r="J75" t="s">
        <v>537</v>
      </c>
      <c r="K75" s="290"/>
      <c r="L75" s="290"/>
    </row>
    <row r="76" spans="1:12" x14ac:dyDescent="0.25">
      <c r="A76" s="669">
        <v>44751</v>
      </c>
      <c r="B76" s="290" t="s">
        <v>542</v>
      </c>
      <c r="C76" s="327">
        <v>21</v>
      </c>
      <c r="D76" s="340">
        <v>23</v>
      </c>
      <c r="E76" s="339" t="s">
        <v>543</v>
      </c>
      <c r="F76" s="328">
        <v>0</v>
      </c>
      <c r="G76" s="328">
        <v>15</v>
      </c>
      <c r="H76" s="340"/>
      <c r="I76" s="339" t="s">
        <v>442</v>
      </c>
      <c r="J76" t="s">
        <v>443</v>
      </c>
      <c r="K76" s="290"/>
      <c r="L76" s="290"/>
    </row>
    <row r="77" spans="1:12" x14ac:dyDescent="0.25">
      <c r="A77" s="669">
        <v>44751</v>
      </c>
      <c r="B77" s="290" t="s">
        <v>36</v>
      </c>
      <c r="C77" s="327">
        <v>15</v>
      </c>
      <c r="D77" s="340">
        <v>20</v>
      </c>
      <c r="E77" s="339" t="s">
        <v>34</v>
      </c>
      <c r="F77" s="328">
        <v>15</v>
      </c>
      <c r="G77" s="328">
        <v>7</v>
      </c>
      <c r="H77" s="340"/>
      <c r="I77" s="339" t="s">
        <v>462</v>
      </c>
      <c r="J77" t="s">
        <v>560</v>
      </c>
      <c r="K77" s="290"/>
      <c r="L77" s="290"/>
    </row>
    <row r="78" spans="1:12" x14ac:dyDescent="0.25">
      <c r="A78" s="669">
        <v>44751</v>
      </c>
      <c r="B78" s="290" t="s">
        <v>127</v>
      </c>
      <c r="C78" s="327">
        <v>12</v>
      </c>
      <c r="D78" s="340">
        <v>23</v>
      </c>
      <c r="E78" s="339" t="s">
        <v>39</v>
      </c>
      <c r="F78" s="328">
        <v>7</v>
      </c>
      <c r="G78" s="328">
        <v>10</v>
      </c>
      <c r="H78" s="340"/>
      <c r="I78" s="339" t="s">
        <v>462</v>
      </c>
      <c r="J78" t="s">
        <v>561</v>
      </c>
      <c r="K78" s="290"/>
      <c r="L78" s="290"/>
    </row>
    <row r="79" spans="1:12" x14ac:dyDescent="0.25">
      <c r="A79" s="669">
        <v>44751</v>
      </c>
      <c r="B79" s="290" t="s">
        <v>29</v>
      </c>
      <c r="C79" s="327">
        <v>17</v>
      </c>
      <c r="D79" s="340">
        <v>25</v>
      </c>
      <c r="E79" s="339" t="s">
        <v>30</v>
      </c>
      <c r="F79" s="328">
        <v>7</v>
      </c>
      <c r="G79" s="328">
        <v>19</v>
      </c>
      <c r="H79" s="340"/>
      <c r="I79" s="339" t="s">
        <v>567</v>
      </c>
      <c r="J79" t="s">
        <v>564</v>
      </c>
      <c r="K79" s="290"/>
      <c r="L79" s="290"/>
    </row>
    <row r="80" spans="1:12" x14ac:dyDescent="0.25">
      <c r="A80" s="669">
        <v>44751</v>
      </c>
      <c r="B80" s="290" t="s">
        <v>126</v>
      </c>
      <c r="C80" s="327">
        <v>12</v>
      </c>
      <c r="D80" s="340">
        <v>13</v>
      </c>
      <c r="E80" s="339" t="s">
        <v>32</v>
      </c>
      <c r="F80" s="328">
        <v>3</v>
      </c>
      <c r="G80" s="328">
        <v>3</v>
      </c>
      <c r="H80" s="340"/>
      <c r="I80" s="339" t="s">
        <v>566</v>
      </c>
      <c r="J80" t="s">
        <v>568</v>
      </c>
      <c r="K80" s="290"/>
      <c r="L80" s="290"/>
    </row>
    <row r="81" spans="1:12" x14ac:dyDescent="0.25">
      <c r="A81" s="669">
        <v>44751</v>
      </c>
      <c r="B81" s="290" t="s">
        <v>37</v>
      </c>
      <c r="C81" s="327">
        <v>6</v>
      </c>
      <c r="D81" s="340">
        <v>29</v>
      </c>
      <c r="E81" s="339" t="s">
        <v>35</v>
      </c>
      <c r="F81" s="328">
        <v>6</v>
      </c>
      <c r="G81" s="328">
        <v>8</v>
      </c>
      <c r="H81" s="340"/>
      <c r="I81" s="339" t="s">
        <v>462</v>
      </c>
      <c r="J81" t="s">
        <v>571</v>
      </c>
      <c r="K81" s="290"/>
      <c r="L81" s="290"/>
    </row>
    <row r="82" spans="1:12" x14ac:dyDescent="0.25">
      <c r="A82" s="669">
        <v>44751</v>
      </c>
      <c r="B82" s="290" t="s">
        <v>544</v>
      </c>
      <c r="C82" s="327">
        <v>21</v>
      </c>
      <c r="D82" s="340">
        <v>22</v>
      </c>
      <c r="E82" s="339" t="s">
        <v>60</v>
      </c>
      <c r="F82" s="328">
        <v>6</v>
      </c>
      <c r="G82" s="328">
        <v>7</v>
      </c>
      <c r="H82" s="340"/>
      <c r="I82" s="339" t="s">
        <v>545</v>
      </c>
      <c r="J82" t="s">
        <v>546</v>
      </c>
      <c r="K82" s="290"/>
      <c r="L82" s="290"/>
    </row>
    <row r="83" spans="1:12" x14ac:dyDescent="0.25">
      <c r="A83" s="669">
        <v>44752</v>
      </c>
      <c r="B83" s="290" t="s">
        <v>473</v>
      </c>
      <c r="C83" s="327">
        <v>30</v>
      </c>
      <c r="D83" s="340">
        <v>44</v>
      </c>
      <c r="E83" s="339" t="s">
        <v>487</v>
      </c>
      <c r="F83" s="328">
        <v>15</v>
      </c>
      <c r="G83" s="328">
        <v>15</v>
      </c>
      <c r="H83" s="340"/>
      <c r="I83" s="339" t="s">
        <v>551</v>
      </c>
      <c r="J83" t="s">
        <v>486</v>
      </c>
      <c r="K83" s="290"/>
      <c r="L83" s="290"/>
    </row>
    <row r="84" spans="1:12" x14ac:dyDescent="0.25">
      <c r="A84" s="669">
        <v>44752</v>
      </c>
      <c r="B84" s="290" t="s">
        <v>482</v>
      </c>
      <c r="C84" s="327">
        <v>17</v>
      </c>
      <c r="D84" s="340">
        <v>18</v>
      </c>
      <c r="E84" s="339" t="s">
        <v>484</v>
      </c>
      <c r="F84" s="328">
        <v>7</v>
      </c>
      <c r="G84" s="328">
        <v>8</v>
      </c>
      <c r="H84" s="340"/>
      <c r="I84" s="339" t="s">
        <v>552</v>
      </c>
      <c r="J84" t="s">
        <v>486</v>
      </c>
      <c r="K84" s="290"/>
      <c r="L84" s="290"/>
    </row>
    <row r="85" spans="1:12" x14ac:dyDescent="0.25">
      <c r="A85" s="669">
        <v>44752</v>
      </c>
      <c r="B85" s="290" t="s">
        <v>273</v>
      </c>
      <c r="C85" s="327">
        <v>28</v>
      </c>
      <c r="D85" s="340">
        <v>19</v>
      </c>
      <c r="E85" s="339" t="s">
        <v>33</v>
      </c>
      <c r="F85" s="328">
        <v>19</v>
      </c>
      <c r="G85" s="328">
        <v>13</v>
      </c>
      <c r="H85" s="340"/>
      <c r="I85" s="339" t="s">
        <v>444</v>
      </c>
      <c r="J85" t="s">
        <v>574</v>
      </c>
      <c r="K85" s="290"/>
      <c r="L85" s="290"/>
    </row>
    <row r="86" spans="1:12" x14ac:dyDescent="0.25">
      <c r="A86" s="669">
        <v>44752</v>
      </c>
      <c r="B86" s="290" t="s">
        <v>157</v>
      </c>
      <c r="C86" s="327">
        <v>12</v>
      </c>
      <c r="D86" s="340">
        <v>20</v>
      </c>
      <c r="E86" s="339" t="s">
        <v>488</v>
      </c>
      <c r="F86" s="328">
        <v>9</v>
      </c>
      <c r="G86" s="328">
        <v>8</v>
      </c>
      <c r="H86" s="340"/>
      <c r="I86" s="339" t="s">
        <v>553</v>
      </c>
      <c r="J86" t="s">
        <v>486</v>
      </c>
      <c r="K86" s="290"/>
      <c r="L86" s="290"/>
    </row>
    <row r="87" spans="1:12" x14ac:dyDescent="0.25">
      <c r="A87" s="669">
        <v>44752</v>
      </c>
      <c r="B87" s="290" t="s">
        <v>105</v>
      </c>
      <c r="C87" s="327">
        <v>22</v>
      </c>
      <c r="D87" s="340">
        <v>30</v>
      </c>
      <c r="E87" s="339" t="s">
        <v>123</v>
      </c>
      <c r="F87" s="328">
        <v>3</v>
      </c>
      <c r="G87" s="328">
        <v>17</v>
      </c>
      <c r="H87" s="340"/>
      <c r="I87" s="339" t="s">
        <v>461</v>
      </c>
      <c r="J87" t="s">
        <v>580</v>
      </c>
      <c r="K87" s="290"/>
      <c r="L87" s="290"/>
    </row>
    <row r="88" spans="1:12" x14ac:dyDescent="0.25">
      <c r="A88" s="669">
        <v>44752</v>
      </c>
      <c r="B88" s="290" t="s">
        <v>40</v>
      </c>
      <c r="C88" s="327">
        <v>34</v>
      </c>
      <c r="D88" s="340">
        <v>57</v>
      </c>
      <c r="E88" s="339" t="s">
        <v>124</v>
      </c>
      <c r="F88" s="328">
        <v>13</v>
      </c>
      <c r="G88" s="328">
        <v>40</v>
      </c>
      <c r="H88" s="340"/>
      <c r="I88" s="339" t="s">
        <v>444</v>
      </c>
      <c r="J88" t="s">
        <v>587</v>
      </c>
      <c r="K88" s="290"/>
      <c r="L88" s="290"/>
    </row>
    <row r="89" spans="1:12" x14ac:dyDescent="0.25">
      <c r="A89" s="669">
        <v>44752</v>
      </c>
      <c r="B89" s="290" t="s">
        <v>122</v>
      </c>
      <c r="C89" s="327">
        <v>36</v>
      </c>
      <c r="D89" s="340">
        <v>0</v>
      </c>
      <c r="E89" s="339" t="s">
        <v>485</v>
      </c>
      <c r="F89" s="328">
        <v>15</v>
      </c>
      <c r="G89" s="328">
        <v>0</v>
      </c>
      <c r="H89" s="340"/>
      <c r="I89" s="339" t="s">
        <v>554</v>
      </c>
      <c r="J89" t="s">
        <v>486</v>
      </c>
      <c r="K89" s="290"/>
      <c r="L89" s="290"/>
    </row>
    <row r="90" spans="1:12" x14ac:dyDescent="0.25">
      <c r="A90" s="669">
        <v>44758</v>
      </c>
      <c r="B90" s="290" t="s">
        <v>31</v>
      </c>
      <c r="C90" s="327">
        <v>20</v>
      </c>
      <c r="D90" s="340">
        <v>23</v>
      </c>
      <c r="E90" s="339" t="s">
        <v>120</v>
      </c>
      <c r="F90" s="328">
        <v>17</v>
      </c>
      <c r="G90" s="328">
        <v>3</v>
      </c>
      <c r="H90" s="340"/>
      <c r="I90" s="339" t="s">
        <v>603</v>
      </c>
      <c r="J90" t="s">
        <v>537</v>
      </c>
      <c r="K90" s="290"/>
      <c r="L90" s="290"/>
    </row>
    <row r="91" spans="1:12" x14ac:dyDescent="0.25">
      <c r="A91" s="669">
        <v>44758</v>
      </c>
      <c r="B91" s="290" t="s">
        <v>127</v>
      </c>
      <c r="C91" s="327">
        <v>22</v>
      </c>
      <c r="D91" s="340">
        <v>32</v>
      </c>
      <c r="E91" s="339" t="s">
        <v>39</v>
      </c>
      <c r="F91" s="328">
        <v>7</v>
      </c>
      <c r="G91" s="328">
        <v>10</v>
      </c>
      <c r="H91" s="340"/>
      <c r="I91" s="339" t="s">
        <v>605</v>
      </c>
      <c r="J91" t="s">
        <v>606</v>
      </c>
      <c r="K91" s="290"/>
      <c r="L91" s="290"/>
    </row>
    <row r="92" spans="1:12" x14ac:dyDescent="0.25">
      <c r="A92" s="669">
        <v>44758</v>
      </c>
      <c r="B92" s="290" t="s">
        <v>29</v>
      </c>
      <c r="C92" s="327">
        <v>17</v>
      </c>
      <c r="D92" s="340">
        <v>21</v>
      </c>
      <c r="E92" s="339" t="s">
        <v>30</v>
      </c>
      <c r="F92" s="328">
        <v>10</v>
      </c>
      <c r="G92" s="328">
        <v>11</v>
      </c>
      <c r="H92" s="685" t="s">
        <v>58</v>
      </c>
      <c r="I92" s="339" t="s">
        <v>609</v>
      </c>
      <c r="J92" t="s">
        <v>610</v>
      </c>
      <c r="K92" s="290"/>
      <c r="L92" s="290"/>
    </row>
    <row r="93" spans="1:12" x14ac:dyDescent="0.25">
      <c r="A93" s="669">
        <v>44758</v>
      </c>
      <c r="B93" s="290" t="s">
        <v>273</v>
      </c>
      <c r="C93" s="327">
        <v>23</v>
      </c>
      <c r="D93" s="340">
        <v>14</v>
      </c>
      <c r="E93" s="339" t="s">
        <v>125</v>
      </c>
      <c r="F93" s="328">
        <v>9</v>
      </c>
      <c r="G93" s="328">
        <v>6</v>
      </c>
      <c r="H93" s="685"/>
      <c r="I93" s="339" t="s">
        <v>444</v>
      </c>
      <c r="J93" s="339" t="s">
        <v>617</v>
      </c>
      <c r="K93" s="290"/>
      <c r="L93" s="290"/>
    </row>
    <row r="94" spans="1:12" x14ac:dyDescent="0.25">
      <c r="A94" s="669">
        <v>44758</v>
      </c>
      <c r="B94" s="290" t="s">
        <v>126</v>
      </c>
      <c r="C94" s="327">
        <v>30</v>
      </c>
      <c r="D94" s="340">
        <v>14</v>
      </c>
      <c r="E94" s="339" t="s">
        <v>32</v>
      </c>
      <c r="F94" s="328">
        <v>17</v>
      </c>
      <c r="G94" s="328">
        <v>8</v>
      </c>
      <c r="H94" s="685"/>
      <c r="I94" s="339" t="s">
        <v>622</v>
      </c>
      <c r="J94" s="339" t="s">
        <v>623</v>
      </c>
      <c r="K94" s="290"/>
      <c r="L94" s="290"/>
    </row>
    <row r="95" spans="1:12" x14ac:dyDescent="0.25">
      <c r="A95" s="669">
        <v>44758</v>
      </c>
      <c r="B95" s="290" t="s">
        <v>60</v>
      </c>
      <c r="C95" s="327">
        <v>29</v>
      </c>
      <c r="D95" s="340">
        <v>31</v>
      </c>
      <c r="E95" s="339" t="s">
        <v>544</v>
      </c>
      <c r="F95" s="328">
        <v>19</v>
      </c>
      <c r="G95" s="328">
        <v>14</v>
      </c>
      <c r="H95" s="340"/>
      <c r="I95" s="339" t="s">
        <v>591</v>
      </c>
      <c r="J95" t="s">
        <v>592</v>
      </c>
      <c r="K95" s="290"/>
      <c r="L95" s="290"/>
    </row>
    <row r="96" spans="1:12" x14ac:dyDescent="0.25">
      <c r="A96" s="669">
        <v>44758</v>
      </c>
      <c r="B96" s="290" t="s">
        <v>37</v>
      </c>
      <c r="C96" s="327">
        <v>34</v>
      </c>
      <c r="D96" s="340">
        <v>31</v>
      </c>
      <c r="E96" s="339" t="s">
        <v>35</v>
      </c>
      <c r="F96" s="328">
        <v>13</v>
      </c>
      <c r="G96" s="328">
        <v>14</v>
      </c>
      <c r="H96" s="340"/>
      <c r="I96" s="339" t="s">
        <v>605</v>
      </c>
      <c r="J96" t="s">
        <v>627</v>
      </c>
      <c r="K96" s="290"/>
      <c r="L96" s="290"/>
    </row>
    <row r="97" spans="1:12" x14ac:dyDescent="0.25">
      <c r="A97" s="669">
        <v>44759</v>
      </c>
      <c r="B97" s="290" t="s">
        <v>105</v>
      </c>
      <c r="C97" s="327">
        <v>26</v>
      </c>
      <c r="D97" s="340">
        <v>20</v>
      </c>
      <c r="E97" s="339" t="s">
        <v>123</v>
      </c>
      <c r="F97" s="328">
        <v>19</v>
      </c>
      <c r="G97" s="328">
        <v>17</v>
      </c>
      <c r="H97" s="340"/>
      <c r="I97" s="339" t="s">
        <v>462</v>
      </c>
      <c r="J97" t="s">
        <v>580</v>
      </c>
      <c r="K97" s="290"/>
      <c r="L97" s="290"/>
    </row>
    <row r="98" spans="1:12" x14ac:dyDescent="0.25">
      <c r="A98" s="669">
        <v>44765</v>
      </c>
      <c r="B98" s="290" t="s">
        <v>119</v>
      </c>
      <c r="C98" s="327">
        <v>44</v>
      </c>
      <c r="D98" s="340">
        <v>22</v>
      </c>
      <c r="E98" s="339" t="s">
        <v>543</v>
      </c>
      <c r="F98" s="328">
        <v>20</v>
      </c>
      <c r="G98" s="328">
        <v>8</v>
      </c>
      <c r="H98" s="340"/>
      <c r="I98" s="339" t="s">
        <v>638</v>
      </c>
      <c r="J98" t="s">
        <v>636</v>
      </c>
      <c r="K98" s="290"/>
      <c r="L98" s="290"/>
    </row>
    <row r="99" spans="1:12" x14ac:dyDescent="0.25">
      <c r="A99" s="669">
        <v>44779</v>
      </c>
      <c r="B99" s="290" t="s">
        <v>126</v>
      </c>
      <c r="C99" s="327">
        <v>26</v>
      </c>
      <c r="D99" s="340">
        <v>10</v>
      </c>
      <c r="E99" s="339" t="s">
        <v>127</v>
      </c>
      <c r="F99" s="328">
        <v>10</v>
      </c>
      <c r="G99" s="328">
        <v>3</v>
      </c>
      <c r="H99" s="340"/>
      <c r="I99" s="339" t="s">
        <v>646</v>
      </c>
      <c r="J99" t="s">
        <v>647</v>
      </c>
      <c r="K99" s="290"/>
      <c r="L99" s="290"/>
    </row>
    <row r="100" spans="1:12" x14ac:dyDescent="0.25">
      <c r="A100" s="669">
        <v>44779</v>
      </c>
      <c r="B100" s="290" t="s">
        <v>37</v>
      </c>
      <c r="C100" s="327">
        <v>26</v>
      </c>
      <c r="D100" s="340">
        <v>41</v>
      </c>
      <c r="E100" s="339" t="s">
        <v>29</v>
      </c>
      <c r="F100" s="328">
        <v>19</v>
      </c>
      <c r="G100" s="328">
        <v>10</v>
      </c>
      <c r="H100" s="340"/>
      <c r="I100" s="339" t="s">
        <v>646</v>
      </c>
      <c r="J100" t="s">
        <v>654</v>
      </c>
      <c r="K100" s="290"/>
      <c r="L100" s="290"/>
    </row>
    <row r="101" spans="1:12" x14ac:dyDescent="0.25">
      <c r="A101" s="669">
        <v>44786</v>
      </c>
      <c r="B101" s="290" t="s">
        <v>126</v>
      </c>
      <c r="C101" s="327">
        <v>23</v>
      </c>
      <c r="D101" s="340">
        <v>35</v>
      </c>
      <c r="E101" s="339" t="s">
        <v>127</v>
      </c>
      <c r="F101" s="328">
        <v>10</v>
      </c>
      <c r="G101" s="328">
        <v>15</v>
      </c>
      <c r="H101" s="340"/>
      <c r="I101" s="339" t="s">
        <v>658</v>
      </c>
      <c r="J101" t="s">
        <v>659</v>
      </c>
      <c r="K101" s="290"/>
      <c r="L101" s="290"/>
    </row>
    <row r="102" spans="1:12" x14ac:dyDescent="0.25">
      <c r="A102" s="669">
        <v>44786</v>
      </c>
      <c r="B102" s="290" t="s">
        <v>37</v>
      </c>
      <c r="C102" s="327">
        <v>48</v>
      </c>
      <c r="D102" s="340">
        <v>17</v>
      </c>
      <c r="E102" s="339" t="s">
        <v>29</v>
      </c>
      <c r="F102" s="328">
        <v>26</v>
      </c>
      <c r="G102" s="328">
        <v>10</v>
      </c>
      <c r="H102" s="340"/>
      <c r="I102" s="339" t="s">
        <v>658</v>
      </c>
      <c r="J102" t="s">
        <v>663</v>
      </c>
      <c r="K102" s="290"/>
      <c r="L102" s="290"/>
    </row>
    <row r="103" spans="1:12" x14ac:dyDescent="0.25">
      <c r="A103" s="669">
        <v>44800</v>
      </c>
      <c r="B103" s="290" t="s">
        <v>29</v>
      </c>
      <c r="C103" s="327">
        <v>25</v>
      </c>
      <c r="D103" s="340">
        <v>17</v>
      </c>
      <c r="E103" s="339" t="s">
        <v>126</v>
      </c>
      <c r="F103" s="328">
        <v>10</v>
      </c>
      <c r="G103" s="328">
        <v>3</v>
      </c>
      <c r="H103" s="340"/>
      <c r="I103" s="339" t="s">
        <v>668</v>
      </c>
      <c r="J103" t="s">
        <v>669</v>
      </c>
      <c r="K103" s="290"/>
      <c r="L103" s="290"/>
    </row>
    <row r="104" spans="1:12" x14ac:dyDescent="0.25">
      <c r="A104" s="669">
        <v>44800</v>
      </c>
      <c r="B104" s="290" t="s">
        <v>127</v>
      </c>
      <c r="C104" s="327">
        <v>18</v>
      </c>
      <c r="D104" s="340">
        <v>25</v>
      </c>
      <c r="E104" s="339" t="s">
        <v>37</v>
      </c>
      <c r="F104" s="328">
        <v>15</v>
      </c>
      <c r="G104" s="328">
        <v>12</v>
      </c>
      <c r="H104" s="340"/>
      <c r="I104" s="339" t="s">
        <v>668</v>
      </c>
      <c r="J104" t="s">
        <v>672</v>
      </c>
      <c r="K104" s="290"/>
      <c r="L104" s="290"/>
    </row>
    <row r="105" spans="1:12" x14ac:dyDescent="0.25">
      <c r="A105" s="669">
        <v>44807</v>
      </c>
      <c r="B105" s="290" t="s">
        <v>127</v>
      </c>
      <c r="C105" s="327">
        <v>53</v>
      </c>
      <c r="D105" s="340">
        <v>3</v>
      </c>
      <c r="E105" s="339" t="s">
        <v>37</v>
      </c>
      <c r="F105" s="328">
        <v>24</v>
      </c>
      <c r="G105" s="328">
        <v>3</v>
      </c>
      <c r="H105" s="340"/>
      <c r="I105" s="339" t="s">
        <v>684</v>
      </c>
      <c r="J105" t="s">
        <v>685</v>
      </c>
      <c r="K105" s="290"/>
      <c r="L105" s="290"/>
    </row>
    <row r="106" spans="1:12" x14ac:dyDescent="0.25">
      <c r="A106" s="669">
        <v>44807</v>
      </c>
      <c r="B106" s="290" t="s">
        <v>29</v>
      </c>
      <c r="C106" s="327">
        <v>8</v>
      </c>
      <c r="D106" s="340">
        <v>24</v>
      </c>
      <c r="E106" s="339" t="s">
        <v>126</v>
      </c>
      <c r="F106" s="328">
        <v>0</v>
      </c>
      <c r="G106" s="328">
        <v>12</v>
      </c>
      <c r="H106" s="340"/>
      <c r="I106" s="339" t="s">
        <v>684</v>
      </c>
      <c r="J106" t="s">
        <v>689</v>
      </c>
      <c r="K106" s="290"/>
      <c r="L106" s="290"/>
    </row>
    <row r="107" spans="1:12" x14ac:dyDescent="0.25">
      <c r="A107" s="669" t="s">
        <v>692</v>
      </c>
      <c r="B107" s="290" t="s">
        <v>29</v>
      </c>
      <c r="C107" s="327">
        <v>37</v>
      </c>
      <c r="D107" s="340">
        <v>39</v>
      </c>
      <c r="E107" s="339" t="s">
        <v>127</v>
      </c>
      <c r="F107" s="328">
        <v>10</v>
      </c>
      <c r="G107" s="328">
        <v>10</v>
      </c>
      <c r="H107" s="340"/>
      <c r="I107" s="339" t="s">
        <v>693</v>
      </c>
      <c r="J107" t="s">
        <v>694</v>
      </c>
      <c r="K107" s="290"/>
      <c r="L107" s="290"/>
    </row>
    <row r="108" spans="1:12" x14ac:dyDescent="0.25">
      <c r="A108" s="669">
        <v>44821</v>
      </c>
      <c r="B108" s="290" t="s">
        <v>37</v>
      </c>
      <c r="C108" s="327">
        <v>20</v>
      </c>
      <c r="D108" s="340">
        <v>36</v>
      </c>
      <c r="E108" s="339" t="s">
        <v>126</v>
      </c>
      <c r="F108" s="328">
        <v>6</v>
      </c>
      <c r="G108" s="328">
        <v>22</v>
      </c>
      <c r="H108" s="340"/>
      <c r="I108" s="339" t="s">
        <v>693</v>
      </c>
      <c r="J108" t="s">
        <v>700</v>
      </c>
      <c r="K108" s="290"/>
      <c r="L108" s="290"/>
    </row>
    <row r="109" spans="1:12" x14ac:dyDescent="0.25">
      <c r="A109" s="669">
        <v>44828</v>
      </c>
      <c r="B109" s="290" t="s">
        <v>127</v>
      </c>
      <c r="C109" s="327">
        <v>40</v>
      </c>
      <c r="D109" s="340">
        <v>14</v>
      </c>
      <c r="E109" s="339" t="s">
        <v>29</v>
      </c>
      <c r="F109" s="328">
        <v>17</v>
      </c>
      <c r="G109" s="328">
        <v>0</v>
      </c>
      <c r="H109" s="340"/>
      <c r="I109" s="339" t="s">
        <v>708</v>
      </c>
      <c r="J109" t="s">
        <v>503</v>
      </c>
      <c r="K109" s="290"/>
      <c r="L109" s="290"/>
    </row>
    <row r="110" spans="1:12" x14ac:dyDescent="0.25">
      <c r="A110" s="669">
        <v>44828</v>
      </c>
      <c r="B110" s="290" t="s">
        <v>126</v>
      </c>
      <c r="C110" s="327">
        <v>38</v>
      </c>
      <c r="D110" s="340">
        <v>21</v>
      </c>
      <c r="E110" s="339" t="s">
        <v>37</v>
      </c>
      <c r="F110" s="328">
        <v>17</v>
      </c>
      <c r="G110" s="328">
        <v>7</v>
      </c>
      <c r="H110" s="340"/>
      <c r="I110" s="339" t="s">
        <v>708</v>
      </c>
      <c r="J110" t="s">
        <v>718</v>
      </c>
      <c r="K110" s="290"/>
      <c r="L110" s="290"/>
    </row>
    <row r="111" spans="1:12" x14ac:dyDescent="0.25">
      <c r="A111" s="669">
        <v>45200</v>
      </c>
      <c r="B111" s="290" t="s">
        <v>400</v>
      </c>
      <c r="C111" s="327">
        <v>7</v>
      </c>
      <c r="D111" s="340">
        <v>56</v>
      </c>
      <c r="E111" s="339" t="s">
        <v>415</v>
      </c>
      <c r="F111" s="328">
        <v>0</v>
      </c>
      <c r="G111" s="328">
        <v>39</v>
      </c>
      <c r="H111" s="340"/>
      <c r="I111" s="339" t="s">
        <v>402</v>
      </c>
      <c r="J111" t="s">
        <v>853</v>
      </c>
      <c r="K111" s="290"/>
      <c r="L111" s="290"/>
    </row>
    <row r="112" spans="1:12" x14ac:dyDescent="0.25">
      <c r="A112" s="669">
        <v>45200</v>
      </c>
      <c r="B112" s="290" t="s">
        <v>420</v>
      </c>
      <c r="C112" s="327">
        <v>25</v>
      </c>
      <c r="D112" s="340">
        <v>13</v>
      </c>
      <c r="E112" s="339" t="s">
        <v>422</v>
      </c>
      <c r="F112" s="328">
        <v>8</v>
      </c>
      <c r="G112" s="328">
        <v>3</v>
      </c>
      <c r="H112" s="340"/>
      <c r="I112" s="339" t="s">
        <v>409</v>
      </c>
      <c r="J112" t="s">
        <v>421</v>
      </c>
      <c r="K112" s="290"/>
      <c r="L112" s="290"/>
    </row>
    <row r="113" spans="1:12" x14ac:dyDescent="0.25">
      <c r="A113" s="669">
        <v>45200</v>
      </c>
      <c r="B113" s="290" t="s">
        <v>431</v>
      </c>
      <c r="C113" s="327">
        <v>25</v>
      </c>
      <c r="D113" s="340">
        <v>10</v>
      </c>
      <c r="E113" s="339" t="s">
        <v>407</v>
      </c>
      <c r="F113" s="328">
        <v>9</v>
      </c>
      <c r="G113" s="328">
        <v>7</v>
      </c>
      <c r="H113" s="340"/>
      <c r="I113" s="339" t="s">
        <v>429</v>
      </c>
      <c r="J113" t="s">
        <v>857</v>
      </c>
      <c r="K113" s="290"/>
      <c r="L113" s="290"/>
    </row>
    <row r="114" spans="1:12" x14ac:dyDescent="0.25">
      <c r="A114" s="669">
        <v>45207</v>
      </c>
      <c r="B114" s="290" t="s">
        <v>417</v>
      </c>
      <c r="C114" s="327">
        <v>62</v>
      </c>
      <c r="D114" s="340">
        <v>0</v>
      </c>
      <c r="E114" s="339" t="s">
        <v>859</v>
      </c>
      <c r="F114" s="328">
        <v>31</v>
      </c>
      <c r="G114" s="328">
        <v>0</v>
      </c>
      <c r="H114" s="340"/>
      <c r="I114" s="339" t="s">
        <v>409</v>
      </c>
      <c r="J114" t="s">
        <v>860</v>
      </c>
      <c r="K114" s="290"/>
      <c r="L114" s="290"/>
    </row>
    <row r="115" spans="1:12" x14ac:dyDescent="0.25">
      <c r="A115" s="669">
        <v>45207</v>
      </c>
      <c r="B115" s="290" t="s">
        <v>364</v>
      </c>
      <c r="C115" s="327">
        <v>21</v>
      </c>
      <c r="D115" s="340">
        <v>41</v>
      </c>
      <c r="E115" s="339" t="s">
        <v>425</v>
      </c>
      <c r="F115" s="328">
        <v>15</v>
      </c>
      <c r="G115" s="328">
        <v>14</v>
      </c>
      <c r="H115" s="340"/>
      <c r="I115" s="339" t="s">
        <v>365</v>
      </c>
      <c r="J115" t="s">
        <v>424</v>
      </c>
      <c r="K115" s="290"/>
      <c r="L115" s="290"/>
    </row>
    <row r="116" spans="1:12" x14ac:dyDescent="0.25">
      <c r="A116" s="669">
        <v>45214</v>
      </c>
      <c r="B116" s="290" t="s">
        <v>422</v>
      </c>
      <c r="C116" s="327">
        <v>6</v>
      </c>
      <c r="D116" s="340">
        <v>23</v>
      </c>
      <c r="E116" s="339" t="s">
        <v>417</v>
      </c>
      <c r="F116" s="328">
        <v>3</v>
      </c>
      <c r="G116" s="328">
        <v>13</v>
      </c>
      <c r="H116" s="340"/>
      <c r="I116" s="339" t="s">
        <v>409</v>
      </c>
      <c r="J116" t="s">
        <v>861</v>
      </c>
      <c r="K116" s="290"/>
      <c r="L116" s="290"/>
    </row>
    <row r="117" spans="1:12" x14ac:dyDescent="0.25">
      <c r="A117" s="669">
        <v>45214</v>
      </c>
      <c r="B117" s="290" t="s">
        <v>428</v>
      </c>
      <c r="C117" s="327">
        <v>31</v>
      </c>
      <c r="D117" s="340">
        <v>6</v>
      </c>
      <c r="E117" s="339" t="s">
        <v>431</v>
      </c>
      <c r="F117" s="328">
        <v>14</v>
      </c>
      <c r="G117" s="328">
        <v>6</v>
      </c>
      <c r="H117" s="340"/>
      <c r="I117" s="339" t="s">
        <v>429</v>
      </c>
      <c r="J117" t="s">
        <v>858</v>
      </c>
      <c r="K117" s="290"/>
      <c r="L117" s="290"/>
    </row>
    <row r="118" spans="1:12" x14ac:dyDescent="0.25">
      <c r="A118" s="669">
        <v>45214</v>
      </c>
      <c r="B118" s="290" t="s">
        <v>854</v>
      </c>
      <c r="C118" s="327">
        <v>14</v>
      </c>
      <c r="D118" s="340">
        <v>23</v>
      </c>
      <c r="E118" s="339" t="s">
        <v>408</v>
      </c>
      <c r="F118" s="328">
        <v>0</v>
      </c>
      <c r="G118" s="328">
        <v>16</v>
      </c>
      <c r="H118" s="340"/>
      <c r="I118" s="339" t="s">
        <v>402</v>
      </c>
      <c r="J118" t="s">
        <v>855</v>
      </c>
      <c r="K118" s="290"/>
      <c r="L118" s="290"/>
    </row>
    <row r="119" spans="1:12" x14ac:dyDescent="0.25">
      <c r="A119" s="669">
        <v>45221</v>
      </c>
      <c r="B119" s="290" t="s">
        <v>428</v>
      </c>
      <c r="C119" s="327">
        <v>22</v>
      </c>
      <c r="D119" s="340">
        <v>3</v>
      </c>
      <c r="E119" s="339" t="s">
        <v>427</v>
      </c>
      <c r="F119" s="328">
        <v>8</v>
      </c>
      <c r="G119" s="328">
        <v>0</v>
      </c>
      <c r="H119" s="340"/>
      <c r="I119" s="339" t="s">
        <v>429</v>
      </c>
      <c r="J119" t="s">
        <v>858</v>
      </c>
      <c r="K119" s="290"/>
      <c r="L119" s="290"/>
    </row>
    <row r="120" spans="1:12" x14ac:dyDescent="0.25">
      <c r="A120" s="669">
        <v>45221</v>
      </c>
      <c r="B120" s="290" t="s">
        <v>404</v>
      </c>
      <c r="C120" s="327">
        <v>22</v>
      </c>
      <c r="D120" s="340">
        <v>27</v>
      </c>
      <c r="E120" s="339" t="s">
        <v>849</v>
      </c>
      <c r="F120" s="328">
        <v>10</v>
      </c>
      <c r="G120" s="328">
        <v>22</v>
      </c>
      <c r="H120" s="340"/>
      <c r="I120" s="339" t="s">
        <v>362</v>
      </c>
      <c r="J120" t="s">
        <v>852</v>
      </c>
      <c r="K120" s="290"/>
      <c r="L120" s="290"/>
    </row>
    <row r="121" spans="1:12" x14ac:dyDescent="0.25">
      <c r="A121" s="669">
        <v>45221</v>
      </c>
      <c r="B121" s="290" t="s">
        <v>400</v>
      </c>
      <c r="C121" s="327">
        <v>10</v>
      </c>
      <c r="D121" s="340">
        <v>46</v>
      </c>
      <c r="E121" s="339" t="s">
        <v>405</v>
      </c>
      <c r="F121" s="328">
        <v>10</v>
      </c>
      <c r="G121" s="328">
        <v>27</v>
      </c>
      <c r="H121" s="340"/>
      <c r="I121" s="339" t="s">
        <v>402</v>
      </c>
      <c r="J121" t="s">
        <v>856</v>
      </c>
      <c r="K121" s="290"/>
      <c r="L121" s="290"/>
    </row>
    <row r="122" spans="1:12" x14ac:dyDescent="0.25">
      <c r="A122" s="669">
        <v>44863</v>
      </c>
      <c r="B122" s="290" t="s">
        <v>36</v>
      </c>
      <c r="C122" s="327">
        <v>31</v>
      </c>
      <c r="D122" s="340">
        <v>38</v>
      </c>
      <c r="E122" s="339" t="s">
        <v>127</v>
      </c>
      <c r="F122" s="339">
        <v>31</v>
      </c>
      <c r="G122" s="339">
        <v>38</v>
      </c>
      <c r="H122" s="339"/>
      <c r="I122" s="339" t="s">
        <v>763</v>
      </c>
      <c r="J122" t="s">
        <v>560</v>
      </c>
      <c r="K122" s="290"/>
      <c r="L122" s="290"/>
    </row>
    <row r="123" spans="1:12" x14ac:dyDescent="0.25">
      <c r="A123" s="669">
        <v>45228</v>
      </c>
      <c r="B123" s="290" t="s">
        <v>859</v>
      </c>
      <c r="C123" s="327">
        <v>18</v>
      </c>
      <c r="D123" s="340">
        <v>20</v>
      </c>
      <c r="E123" s="339" t="s">
        <v>420</v>
      </c>
      <c r="F123" s="339">
        <v>0</v>
      </c>
      <c r="G123" s="339">
        <v>7</v>
      </c>
      <c r="H123" s="339"/>
      <c r="I123" s="339" t="s">
        <v>409</v>
      </c>
      <c r="J123" t="s">
        <v>862</v>
      </c>
      <c r="K123" s="290"/>
      <c r="L123" s="290"/>
    </row>
    <row r="124" spans="1:12" x14ac:dyDescent="0.25">
      <c r="A124" s="669">
        <v>45228</v>
      </c>
      <c r="B124" s="290" t="s">
        <v>419</v>
      </c>
      <c r="C124" s="327">
        <v>37</v>
      </c>
      <c r="D124" s="340">
        <v>17</v>
      </c>
      <c r="E124" s="339" t="s">
        <v>404</v>
      </c>
      <c r="F124" s="339">
        <v>25</v>
      </c>
      <c r="G124" s="339">
        <v>10</v>
      </c>
      <c r="H124" s="339"/>
      <c r="I124" s="339" t="s">
        <v>362</v>
      </c>
      <c r="J124" t="s">
        <v>434</v>
      </c>
      <c r="K124" s="290"/>
      <c r="L124" s="290"/>
    </row>
    <row r="125" spans="1:12" x14ac:dyDescent="0.25">
      <c r="A125" s="669">
        <v>44863</v>
      </c>
      <c r="B125" s="290" t="s">
        <v>35</v>
      </c>
      <c r="C125" s="327">
        <v>15</v>
      </c>
      <c r="D125" s="340">
        <v>16</v>
      </c>
      <c r="E125" s="339" t="s">
        <v>29</v>
      </c>
      <c r="F125" s="328">
        <v>5</v>
      </c>
      <c r="G125" s="328">
        <v>6</v>
      </c>
      <c r="H125" s="340"/>
      <c r="I125" s="339" t="s">
        <v>784</v>
      </c>
      <c r="J125" t="s">
        <v>264</v>
      </c>
      <c r="K125" s="290"/>
      <c r="L125" s="290"/>
    </row>
    <row r="126" spans="1:12" x14ac:dyDescent="0.25">
      <c r="A126" s="669">
        <v>44870</v>
      </c>
      <c r="B126" s="290" t="s">
        <v>123</v>
      </c>
      <c r="C126" s="327">
        <v>30</v>
      </c>
      <c r="D126" s="340">
        <v>23</v>
      </c>
      <c r="E126" s="339" t="s">
        <v>544</v>
      </c>
      <c r="F126" s="328">
        <v>20</v>
      </c>
      <c r="G126" s="328">
        <v>7</v>
      </c>
      <c r="H126" s="340"/>
      <c r="I126" s="339" t="s">
        <v>763</v>
      </c>
      <c r="J126" t="s">
        <v>253</v>
      </c>
      <c r="K126" s="290"/>
      <c r="L126" s="290"/>
    </row>
    <row r="127" spans="1:12" x14ac:dyDescent="0.25">
      <c r="A127" s="669">
        <v>45235</v>
      </c>
      <c r="B127" s="290" t="s">
        <v>398</v>
      </c>
      <c r="C127" s="327">
        <v>39</v>
      </c>
      <c r="D127" s="340">
        <v>20</v>
      </c>
      <c r="E127" s="339" t="s">
        <v>849</v>
      </c>
      <c r="F127" s="328">
        <v>20</v>
      </c>
      <c r="G127" s="328">
        <v>17</v>
      </c>
      <c r="H127" s="340"/>
      <c r="I127" s="339" t="s">
        <v>362</v>
      </c>
      <c r="J127" t="s">
        <v>850</v>
      </c>
      <c r="K127" s="290"/>
      <c r="L127" s="290"/>
    </row>
    <row r="128" spans="1:12" x14ac:dyDescent="0.25">
      <c r="A128" s="669">
        <v>44870</v>
      </c>
      <c r="B128" s="290" t="s">
        <v>35</v>
      </c>
      <c r="C128" s="327">
        <v>28</v>
      </c>
      <c r="D128" s="340">
        <v>12</v>
      </c>
      <c r="E128" s="339" t="s">
        <v>31</v>
      </c>
      <c r="F128" s="328">
        <v>14</v>
      </c>
      <c r="G128" s="328">
        <v>12</v>
      </c>
      <c r="H128" s="340"/>
      <c r="I128" s="339" t="s">
        <v>785</v>
      </c>
      <c r="J128" t="s">
        <v>264</v>
      </c>
      <c r="K128" s="290"/>
      <c r="L128" s="290"/>
    </row>
    <row r="129" spans="1:12" x14ac:dyDescent="0.25">
      <c r="A129" s="669">
        <v>45235</v>
      </c>
      <c r="B129" s="290" t="s">
        <v>419</v>
      </c>
      <c r="C129" s="327">
        <v>12</v>
      </c>
      <c r="D129" s="340">
        <v>69</v>
      </c>
      <c r="E129" s="339" t="s">
        <v>359</v>
      </c>
      <c r="F129" s="328">
        <v>7</v>
      </c>
      <c r="G129" s="328">
        <v>29</v>
      </c>
      <c r="H129" s="340"/>
      <c r="I129" s="339" t="s">
        <v>362</v>
      </c>
      <c r="J129" t="s">
        <v>851</v>
      </c>
      <c r="K129" s="290"/>
      <c r="L129" s="290"/>
    </row>
    <row r="130" spans="1:12" x14ac:dyDescent="0.25">
      <c r="A130" s="669">
        <v>45235</v>
      </c>
      <c r="B130" s="290" t="s">
        <v>408</v>
      </c>
      <c r="C130" s="327">
        <v>34</v>
      </c>
      <c r="D130" s="340">
        <v>15</v>
      </c>
      <c r="E130" s="339" t="s">
        <v>401</v>
      </c>
      <c r="F130" s="328">
        <v>14</v>
      </c>
      <c r="G130" s="328">
        <v>10</v>
      </c>
      <c r="H130" s="340"/>
      <c r="I130" s="339" t="s">
        <v>402</v>
      </c>
      <c r="J130" t="s">
        <v>423</v>
      </c>
      <c r="K130" s="290"/>
      <c r="L130" s="290"/>
    </row>
    <row r="131" spans="1:12" x14ac:dyDescent="0.25">
      <c r="A131" s="669">
        <v>44870</v>
      </c>
      <c r="B131" s="290" t="s">
        <v>60</v>
      </c>
      <c r="C131" s="327">
        <v>68</v>
      </c>
      <c r="D131" s="340">
        <v>14</v>
      </c>
      <c r="E131" s="339" t="s">
        <v>485</v>
      </c>
      <c r="F131" s="328">
        <v>19</v>
      </c>
      <c r="G131" s="328">
        <v>0</v>
      </c>
      <c r="H131" s="340"/>
      <c r="I131" s="339" t="s">
        <v>774</v>
      </c>
      <c r="J131" t="s">
        <v>775</v>
      </c>
      <c r="K131" s="290"/>
      <c r="L131" s="290"/>
    </row>
    <row r="132" spans="1:12" x14ac:dyDescent="0.25">
      <c r="A132" s="669">
        <v>44870</v>
      </c>
      <c r="B132" s="290" t="s">
        <v>33</v>
      </c>
      <c r="C132" s="327">
        <v>49</v>
      </c>
      <c r="D132" s="340">
        <v>17</v>
      </c>
      <c r="E132" s="339" t="s">
        <v>120</v>
      </c>
      <c r="F132" s="328">
        <v>28</v>
      </c>
      <c r="G132" s="328">
        <v>0</v>
      </c>
      <c r="H132" s="340"/>
      <c r="I132" s="339" t="s">
        <v>785</v>
      </c>
      <c r="J132" t="s">
        <v>791</v>
      </c>
      <c r="K132" s="290"/>
      <c r="L132" s="290"/>
    </row>
    <row r="133" spans="1:12" x14ac:dyDescent="0.25">
      <c r="A133" s="669">
        <v>44870</v>
      </c>
      <c r="B133" s="290" t="s">
        <v>408</v>
      </c>
      <c r="C133" s="327">
        <v>34</v>
      </c>
      <c r="D133" s="340">
        <v>15</v>
      </c>
      <c r="E133" s="339" t="s">
        <v>401</v>
      </c>
      <c r="F133" s="328">
        <v>14</v>
      </c>
      <c r="G133" s="328">
        <v>10</v>
      </c>
      <c r="H133" s="340"/>
      <c r="I133" s="339" t="s">
        <v>402</v>
      </c>
      <c r="J133" t="s">
        <v>423</v>
      </c>
      <c r="K133" s="290"/>
      <c r="L133" s="290"/>
    </row>
    <row r="134" spans="1:12" x14ac:dyDescent="0.25">
      <c r="A134" s="669">
        <v>44870</v>
      </c>
      <c r="B134" s="290" t="s">
        <v>38</v>
      </c>
      <c r="C134" s="327">
        <v>34</v>
      </c>
      <c r="D134" s="340">
        <v>18</v>
      </c>
      <c r="E134" s="339" t="s">
        <v>105</v>
      </c>
      <c r="F134" s="328">
        <v>24</v>
      </c>
      <c r="G134" s="328">
        <v>13</v>
      </c>
      <c r="H134" s="340"/>
      <c r="I134" s="339" t="s">
        <v>763</v>
      </c>
      <c r="J134" t="s">
        <v>378</v>
      </c>
      <c r="K134" s="290"/>
      <c r="L134" s="290"/>
    </row>
    <row r="135" spans="1:12" x14ac:dyDescent="0.25">
      <c r="A135" s="669">
        <v>44870</v>
      </c>
      <c r="B135" s="290" t="s">
        <v>125</v>
      </c>
      <c r="C135" s="327">
        <v>42</v>
      </c>
      <c r="D135" s="340">
        <v>14</v>
      </c>
      <c r="E135" s="339" t="s">
        <v>543</v>
      </c>
      <c r="F135" s="328">
        <v>21</v>
      </c>
      <c r="G135" s="328">
        <v>7</v>
      </c>
      <c r="H135" s="340"/>
      <c r="I135" s="339" t="s">
        <v>774</v>
      </c>
      <c r="J135" t="s">
        <v>775</v>
      </c>
      <c r="K135" s="290"/>
      <c r="L135" s="290"/>
    </row>
    <row r="136" spans="1:12" x14ac:dyDescent="0.25">
      <c r="A136" s="669">
        <v>44870</v>
      </c>
      <c r="B136" s="290" t="s">
        <v>124</v>
      </c>
      <c r="C136" s="327">
        <v>6</v>
      </c>
      <c r="D136" s="340">
        <v>40</v>
      </c>
      <c r="E136" s="339" t="s">
        <v>119</v>
      </c>
      <c r="F136" s="339">
        <v>6</v>
      </c>
      <c r="G136" s="339">
        <v>18</v>
      </c>
      <c r="H136" s="339"/>
      <c r="I136" s="339" t="s">
        <v>763</v>
      </c>
      <c r="J136" t="s">
        <v>779</v>
      </c>
      <c r="K136" s="290"/>
      <c r="L136" s="290"/>
    </row>
    <row r="137" spans="1:12" x14ac:dyDescent="0.25">
      <c r="A137" s="669">
        <v>44870</v>
      </c>
      <c r="B137" s="290" t="s">
        <v>32</v>
      </c>
      <c r="C137" s="327">
        <v>23</v>
      </c>
      <c r="D137" s="340">
        <v>55</v>
      </c>
      <c r="E137" s="339" t="s">
        <v>127</v>
      </c>
      <c r="F137" s="328">
        <v>13</v>
      </c>
      <c r="G137" s="328">
        <v>22</v>
      </c>
      <c r="H137" s="340"/>
      <c r="I137" s="339" t="s">
        <v>785</v>
      </c>
      <c r="J137" t="s">
        <v>308</v>
      </c>
      <c r="K137" s="290"/>
      <c r="L137" s="290"/>
    </row>
    <row r="138" spans="1:12" x14ac:dyDescent="0.25">
      <c r="A138" s="669">
        <v>44870</v>
      </c>
      <c r="B138" s="290" t="s">
        <v>39</v>
      </c>
      <c r="C138" s="327">
        <v>19</v>
      </c>
      <c r="D138" s="340">
        <v>16</v>
      </c>
      <c r="E138" s="339" t="s">
        <v>126</v>
      </c>
      <c r="F138" s="328">
        <v>6</v>
      </c>
      <c r="G138" s="328">
        <v>6</v>
      </c>
      <c r="H138" s="340"/>
      <c r="I138" s="339" t="s">
        <v>785</v>
      </c>
      <c r="J138" t="s">
        <v>256</v>
      </c>
      <c r="K138" s="290"/>
      <c r="L138" s="290"/>
    </row>
    <row r="139" spans="1:12" x14ac:dyDescent="0.25">
      <c r="A139" s="669">
        <v>44870</v>
      </c>
      <c r="B139" s="290" t="s">
        <v>34</v>
      </c>
      <c r="C139" s="327">
        <v>30</v>
      </c>
      <c r="D139" s="340">
        <v>29</v>
      </c>
      <c r="E139" s="339" t="s">
        <v>29</v>
      </c>
      <c r="F139" s="328">
        <v>19</v>
      </c>
      <c r="G139" s="328">
        <v>13</v>
      </c>
      <c r="H139" s="340"/>
      <c r="I139" s="339" t="s">
        <v>794</v>
      </c>
      <c r="J139" t="s">
        <v>280</v>
      </c>
      <c r="K139" s="290"/>
      <c r="L139" s="290"/>
    </row>
    <row r="140" spans="1:12" x14ac:dyDescent="0.25">
      <c r="A140" s="669">
        <v>44871</v>
      </c>
      <c r="B140" s="290" t="s">
        <v>30</v>
      </c>
      <c r="C140" s="327">
        <v>29</v>
      </c>
      <c r="D140" s="340">
        <v>30</v>
      </c>
      <c r="E140" s="339" t="s">
        <v>37</v>
      </c>
      <c r="F140" s="328">
        <v>16</v>
      </c>
      <c r="G140" s="328">
        <v>12</v>
      </c>
      <c r="H140" s="340"/>
      <c r="I140" s="339" t="s">
        <v>785</v>
      </c>
      <c r="J140" t="s">
        <v>326</v>
      </c>
      <c r="K140" s="290"/>
      <c r="L140" s="290"/>
    </row>
    <row r="141" spans="1:12" x14ac:dyDescent="0.25">
      <c r="A141" s="669">
        <v>44877</v>
      </c>
      <c r="B141" s="290" t="s">
        <v>119</v>
      </c>
      <c r="C141" s="327">
        <v>39</v>
      </c>
      <c r="D141" s="340">
        <v>10</v>
      </c>
      <c r="E141" s="339" t="s">
        <v>544</v>
      </c>
      <c r="F141" s="328">
        <v>13</v>
      </c>
      <c r="G141" s="328">
        <v>3</v>
      </c>
      <c r="H141" s="340"/>
      <c r="I141" s="339" t="s">
        <v>763</v>
      </c>
      <c r="J141" t="s">
        <v>253</v>
      </c>
      <c r="K141" s="290"/>
      <c r="L141" s="290"/>
    </row>
    <row r="142" spans="1:12" x14ac:dyDescent="0.25">
      <c r="A142" s="669">
        <v>45242</v>
      </c>
      <c r="B142" s="290" t="s">
        <v>415</v>
      </c>
      <c r="C142" s="327">
        <v>21</v>
      </c>
      <c r="D142" s="340">
        <v>22</v>
      </c>
      <c r="E142" s="339" t="s">
        <v>401</v>
      </c>
      <c r="F142" s="328">
        <v>0</v>
      </c>
      <c r="G142" s="328">
        <v>10</v>
      </c>
      <c r="H142" s="340"/>
      <c r="I142" s="339" t="s">
        <v>402</v>
      </c>
      <c r="J142" t="s">
        <v>864</v>
      </c>
      <c r="K142" s="290"/>
      <c r="L142" s="290"/>
    </row>
    <row r="143" spans="1:12" x14ac:dyDescent="0.25">
      <c r="A143" s="669">
        <v>44877</v>
      </c>
      <c r="B143" s="290" t="s">
        <v>39</v>
      </c>
      <c r="C143" s="327">
        <v>35</v>
      </c>
      <c r="D143" s="340">
        <v>17</v>
      </c>
      <c r="E143" s="339" t="s">
        <v>31</v>
      </c>
      <c r="F143" s="328">
        <v>21</v>
      </c>
      <c r="G143" s="328">
        <v>10</v>
      </c>
      <c r="H143" s="340"/>
      <c r="I143" s="339" t="s">
        <v>785</v>
      </c>
      <c r="J143" t="s">
        <v>256</v>
      </c>
      <c r="K143" s="290"/>
      <c r="L143" s="290"/>
    </row>
    <row r="144" spans="1:12" x14ac:dyDescent="0.25">
      <c r="A144" s="669">
        <v>44877</v>
      </c>
      <c r="B144" s="290" t="s">
        <v>33</v>
      </c>
      <c r="C144" s="327">
        <v>28</v>
      </c>
      <c r="D144" s="340">
        <v>27</v>
      </c>
      <c r="E144" s="339" t="s">
        <v>29</v>
      </c>
      <c r="F144" s="328">
        <v>17</v>
      </c>
      <c r="G144" s="328">
        <v>8</v>
      </c>
      <c r="H144" s="340"/>
      <c r="I144" s="339" t="s">
        <v>785</v>
      </c>
      <c r="J144" t="s">
        <v>814</v>
      </c>
      <c r="K144" s="290"/>
      <c r="L144" s="290"/>
    </row>
    <row r="145" spans="1:12" x14ac:dyDescent="0.25">
      <c r="A145" s="669">
        <v>44877</v>
      </c>
      <c r="B145" s="290" t="s">
        <v>425</v>
      </c>
      <c r="C145" s="327">
        <v>39</v>
      </c>
      <c r="D145" s="340">
        <v>13</v>
      </c>
      <c r="E145" s="339" t="s">
        <v>432</v>
      </c>
      <c r="F145" s="328">
        <v>18</v>
      </c>
      <c r="G145" s="328">
        <v>13</v>
      </c>
      <c r="H145" s="340"/>
      <c r="I145" s="339" t="s">
        <v>365</v>
      </c>
      <c r="J145" t="s">
        <v>865</v>
      </c>
      <c r="K145" s="290"/>
      <c r="L145" s="290"/>
    </row>
    <row r="146" spans="1:12" x14ac:dyDescent="0.25">
      <c r="A146" s="669">
        <v>44877</v>
      </c>
      <c r="B146" s="290" t="s">
        <v>125</v>
      </c>
      <c r="C146" s="327">
        <v>85</v>
      </c>
      <c r="D146" s="340">
        <v>0</v>
      </c>
      <c r="E146" s="339" t="s">
        <v>485</v>
      </c>
      <c r="F146" s="328">
        <v>35</v>
      </c>
      <c r="G146" s="328">
        <v>0</v>
      </c>
      <c r="H146" s="340"/>
      <c r="I146" s="339" t="s">
        <v>797</v>
      </c>
      <c r="J146" t="s">
        <v>775</v>
      </c>
      <c r="K146" s="290"/>
      <c r="L146" s="290"/>
    </row>
    <row r="147" spans="1:12" x14ac:dyDescent="0.25">
      <c r="A147" s="669">
        <v>44877</v>
      </c>
      <c r="B147" s="290" t="s">
        <v>38</v>
      </c>
      <c r="C147" s="327">
        <v>19</v>
      </c>
      <c r="D147" s="340">
        <v>20</v>
      </c>
      <c r="E147" s="339" t="s">
        <v>120</v>
      </c>
      <c r="F147" s="328">
        <v>6</v>
      </c>
      <c r="G147" s="328">
        <v>10</v>
      </c>
      <c r="H147" s="340"/>
      <c r="I147" s="339" t="s">
        <v>763</v>
      </c>
      <c r="J147" t="s">
        <v>378</v>
      </c>
      <c r="K147" s="290"/>
      <c r="L147" s="290"/>
    </row>
    <row r="148" spans="1:12" x14ac:dyDescent="0.25">
      <c r="A148" s="669">
        <v>44877</v>
      </c>
      <c r="B148" s="290" t="s">
        <v>190</v>
      </c>
      <c r="C148" s="327">
        <v>25</v>
      </c>
      <c r="D148" s="340">
        <v>37</v>
      </c>
      <c r="E148" s="339" t="s">
        <v>40</v>
      </c>
      <c r="F148" s="328">
        <v>13</v>
      </c>
      <c r="G148" s="328">
        <v>13</v>
      </c>
      <c r="H148" s="340"/>
      <c r="I148" s="339" t="s">
        <v>763</v>
      </c>
      <c r="J148" t="s">
        <v>307</v>
      </c>
      <c r="K148" s="290"/>
      <c r="L148" s="290"/>
    </row>
    <row r="149" spans="1:12" x14ac:dyDescent="0.25">
      <c r="A149" s="669">
        <v>45242</v>
      </c>
      <c r="B149" s="290" t="s">
        <v>359</v>
      </c>
      <c r="C149" s="327">
        <v>45</v>
      </c>
      <c r="D149" s="340">
        <v>6</v>
      </c>
      <c r="E149" s="339" t="s">
        <v>398</v>
      </c>
      <c r="F149" s="328">
        <v>14</v>
      </c>
      <c r="G149" s="328">
        <v>6</v>
      </c>
      <c r="H149" s="340"/>
      <c r="I149" s="339" t="s">
        <v>362</v>
      </c>
      <c r="J149" t="s">
        <v>863</v>
      </c>
      <c r="K149" s="290"/>
      <c r="L149" s="290"/>
    </row>
    <row r="150" spans="1:12" x14ac:dyDescent="0.25">
      <c r="A150" s="669">
        <v>44877</v>
      </c>
      <c r="B150" s="290" t="s">
        <v>60</v>
      </c>
      <c r="C150" s="327">
        <v>49</v>
      </c>
      <c r="D150" s="340">
        <v>7</v>
      </c>
      <c r="E150" s="339" t="s">
        <v>543</v>
      </c>
      <c r="F150" s="328">
        <v>28</v>
      </c>
      <c r="G150" s="328">
        <v>0</v>
      </c>
      <c r="H150" s="340"/>
      <c r="I150" s="339" t="s">
        <v>797</v>
      </c>
      <c r="J150" t="s">
        <v>775</v>
      </c>
      <c r="K150" s="290"/>
      <c r="L150" s="290"/>
    </row>
    <row r="151" spans="1:12" x14ac:dyDescent="0.25">
      <c r="A151" s="669">
        <v>44877</v>
      </c>
      <c r="B151" s="290" t="s">
        <v>124</v>
      </c>
      <c r="C151" s="327">
        <v>34</v>
      </c>
      <c r="D151" s="340">
        <v>15</v>
      </c>
      <c r="E151" s="339" t="s">
        <v>122</v>
      </c>
      <c r="F151" s="328">
        <v>15</v>
      </c>
      <c r="G151" s="328">
        <v>12</v>
      </c>
      <c r="H151" s="340"/>
      <c r="I151" s="339" t="s">
        <v>763</v>
      </c>
      <c r="J151" t="s">
        <v>254</v>
      </c>
      <c r="K151" s="290"/>
      <c r="L151" s="290"/>
    </row>
    <row r="152" spans="1:12" x14ac:dyDescent="0.25">
      <c r="A152" s="669">
        <v>44877</v>
      </c>
      <c r="B152" s="290" t="s">
        <v>30</v>
      </c>
      <c r="C152" s="327">
        <v>52</v>
      </c>
      <c r="D152" s="340">
        <v>13</v>
      </c>
      <c r="E152" s="339" t="s">
        <v>36</v>
      </c>
      <c r="F152" s="328">
        <v>24</v>
      </c>
      <c r="G152" s="328">
        <v>6</v>
      </c>
      <c r="H152" s="340"/>
      <c r="I152" s="339" t="s">
        <v>785</v>
      </c>
      <c r="J152" t="s">
        <v>326</v>
      </c>
      <c r="K152" s="290"/>
      <c r="L152" s="290"/>
    </row>
    <row r="153" spans="1:12" x14ac:dyDescent="0.25">
      <c r="A153" s="669">
        <v>44877</v>
      </c>
      <c r="B153" s="290" t="s">
        <v>32</v>
      </c>
      <c r="C153" s="327">
        <v>20</v>
      </c>
      <c r="D153" s="340">
        <v>13</v>
      </c>
      <c r="E153" s="339" t="s">
        <v>37</v>
      </c>
      <c r="F153" s="328">
        <v>10</v>
      </c>
      <c r="G153" s="328">
        <v>6</v>
      </c>
      <c r="H153" s="340"/>
      <c r="I153" s="339" t="s">
        <v>785</v>
      </c>
      <c r="J153" t="s">
        <v>308</v>
      </c>
      <c r="K153" s="290"/>
      <c r="L153" s="290"/>
    </row>
    <row r="154" spans="1:12" x14ac:dyDescent="0.25">
      <c r="A154" s="669">
        <v>44877</v>
      </c>
      <c r="B154" s="290" t="s">
        <v>34</v>
      </c>
      <c r="C154" s="327">
        <v>30</v>
      </c>
      <c r="D154" s="340">
        <v>26</v>
      </c>
      <c r="E154" s="339" t="s">
        <v>126</v>
      </c>
      <c r="F154" s="328">
        <v>16</v>
      </c>
      <c r="G154" s="328">
        <v>10</v>
      </c>
      <c r="H154" s="340"/>
      <c r="I154" s="339" t="s">
        <v>785</v>
      </c>
      <c r="J154" t="s">
        <v>817</v>
      </c>
      <c r="K154" s="290"/>
      <c r="L154" s="290"/>
    </row>
    <row r="155" spans="1:12" x14ac:dyDescent="0.25">
      <c r="A155" s="669">
        <v>44878</v>
      </c>
      <c r="B155" t="s">
        <v>123</v>
      </c>
      <c r="C155" s="327">
        <v>16</v>
      </c>
      <c r="D155" s="340">
        <v>21</v>
      </c>
      <c r="E155" s="339" t="s">
        <v>105</v>
      </c>
      <c r="F155">
        <v>13</v>
      </c>
      <c r="G155">
        <v>6</v>
      </c>
      <c r="H155" s="340"/>
      <c r="I155" s="339" t="s">
        <v>763</v>
      </c>
      <c r="J155" t="s">
        <v>253</v>
      </c>
      <c r="K155" s="290"/>
      <c r="L155" s="290"/>
    </row>
    <row r="156" spans="1:12" x14ac:dyDescent="0.25">
      <c r="A156" s="669">
        <v>44878</v>
      </c>
      <c r="B156" s="290" t="s">
        <v>35</v>
      </c>
      <c r="C156" s="327">
        <v>23</v>
      </c>
      <c r="D156" s="340">
        <v>31</v>
      </c>
      <c r="E156" s="339" t="s">
        <v>127</v>
      </c>
      <c r="F156" s="328">
        <v>17</v>
      </c>
      <c r="G156" s="328">
        <v>14</v>
      </c>
      <c r="H156" s="340"/>
      <c r="I156" s="339" t="s">
        <v>785</v>
      </c>
      <c r="J156" t="s">
        <v>264</v>
      </c>
      <c r="K156" s="290"/>
      <c r="L156" s="290"/>
    </row>
    <row r="157" spans="1:12" x14ac:dyDescent="0.25">
      <c r="A157" s="669">
        <v>45249</v>
      </c>
      <c r="B157" s="290" t="s">
        <v>119</v>
      </c>
      <c r="C157" s="327">
        <v>43</v>
      </c>
      <c r="D157" s="340">
        <v>19</v>
      </c>
      <c r="E157" s="339" t="s">
        <v>105</v>
      </c>
      <c r="F157" s="328">
        <v>32</v>
      </c>
      <c r="G157" s="328">
        <v>12</v>
      </c>
      <c r="H157" s="340"/>
      <c r="I157" s="339" t="s">
        <v>763</v>
      </c>
      <c r="J157" t="s">
        <v>253</v>
      </c>
      <c r="K157" s="290"/>
      <c r="L157" s="290"/>
    </row>
    <row r="158" spans="1:12" x14ac:dyDescent="0.25">
      <c r="A158" s="669">
        <v>44884</v>
      </c>
      <c r="B158" s="290" t="s">
        <v>33</v>
      </c>
      <c r="C158" s="327">
        <v>21</v>
      </c>
      <c r="D158" s="340">
        <v>63</v>
      </c>
      <c r="E158" s="339" t="s">
        <v>126</v>
      </c>
      <c r="F158" s="328">
        <v>13</v>
      </c>
      <c r="G158" s="328">
        <v>18</v>
      </c>
      <c r="H158" s="340"/>
      <c r="I158" s="339" t="s">
        <v>785</v>
      </c>
      <c r="J158" t="s">
        <v>834</v>
      </c>
      <c r="K158" s="290"/>
      <c r="L158" s="290"/>
    </row>
    <row r="159" spans="1:12" x14ac:dyDescent="0.25">
      <c r="A159" s="669">
        <v>44884</v>
      </c>
      <c r="B159" t="s">
        <v>32</v>
      </c>
      <c r="C159" s="327">
        <v>12</v>
      </c>
      <c r="D159" s="340">
        <v>13</v>
      </c>
      <c r="E159" s="339" t="s">
        <v>38</v>
      </c>
      <c r="F159">
        <v>12</v>
      </c>
      <c r="G159">
        <v>3</v>
      </c>
      <c r="H159" s="340"/>
      <c r="I159" s="339" t="s">
        <v>785</v>
      </c>
      <c r="J159" t="s">
        <v>308</v>
      </c>
      <c r="K159" s="290"/>
      <c r="L159" s="290"/>
    </row>
    <row r="160" spans="1:12" x14ac:dyDescent="0.25">
      <c r="A160" s="669">
        <v>45249</v>
      </c>
      <c r="B160" s="290" t="s">
        <v>40</v>
      </c>
      <c r="C160" s="327">
        <v>37</v>
      </c>
      <c r="D160" s="340">
        <v>43</v>
      </c>
      <c r="E160" s="339" t="s">
        <v>122</v>
      </c>
      <c r="F160" s="328">
        <v>24</v>
      </c>
      <c r="G160" s="328">
        <v>24</v>
      </c>
      <c r="H160" s="340"/>
      <c r="I160" s="339" t="s">
        <v>763</v>
      </c>
      <c r="J160" t="s">
        <v>307</v>
      </c>
      <c r="K160" s="290"/>
      <c r="L160" s="290"/>
    </row>
    <row r="161" spans="1:13" x14ac:dyDescent="0.25">
      <c r="A161" s="669">
        <v>45249</v>
      </c>
      <c r="B161" s="290" t="s">
        <v>123</v>
      </c>
      <c r="C161" s="327">
        <v>0</v>
      </c>
      <c r="D161" s="340">
        <v>22</v>
      </c>
      <c r="E161" s="339" t="s">
        <v>120</v>
      </c>
      <c r="F161" s="328">
        <v>22</v>
      </c>
      <c r="G161" s="328">
        <v>0</v>
      </c>
      <c r="H161" s="340"/>
      <c r="I161" s="339" t="s">
        <v>763</v>
      </c>
      <c r="J161" t="s">
        <v>253</v>
      </c>
      <c r="K161" s="290"/>
      <c r="L161" s="290"/>
    </row>
    <row r="162" spans="1:13" x14ac:dyDescent="0.25">
      <c r="A162" s="669">
        <v>44884</v>
      </c>
      <c r="B162" s="290" t="s">
        <v>35</v>
      </c>
      <c r="C162" s="327">
        <v>52</v>
      </c>
      <c r="D162" s="340">
        <v>29</v>
      </c>
      <c r="E162" s="339" t="s">
        <v>37</v>
      </c>
      <c r="F162" s="328">
        <v>19</v>
      </c>
      <c r="G162" s="328">
        <v>15</v>
      </c>
      <c r="H162" s="340"/>
      <c r="I162" s="339" t="s">
        <v>785</v>
      </c>
      <c r="J162" t="s">
        <v>264</v>
      </c>
      <c r="K162" s="290"/>
      <c r="L162" s="290"/>
    </row>
    <row r="163" spans="1:13" x14ac:dyDescent="0.25">
      <c r="A163" s="669">
        <v>44884</v>
      </c>
      <c r="B163" s="290" t="s">
        <v>30</v>
      </c>
      <c r="C163" s="327">
        <v>25</v>
      </c>
      <c r="D163" s="340">
        <v>25</v>
      </c>
      <c r="E163" s="339" t="s">
        <v>127</v>
      </c>
      <c r="F163" s="328">
        <v>3</v>
      </c>
      <c r="G163" s="328">
        <v>17</v>
      </c>
      <c r="H163" s="340"/>
      <c r="I163" s="339" t="s">
        <v>840</v>
      </c>
      <c r="J163" t="s">
        <v>326</v>
      </c>
      <c r="K163" s="290"/>
      <c r="L163" s="290"/>
    </row>
    <row r="164" spans="1:13" x14ac:dyDescent="0.25">
      <c r="A164" s="669">
        <v>44884</v>
      </c>
      <c r="B164" t="s">
        <v>39</v>
      </c>
      <c r="C164" s="327">
        <v>13</v>
      </c>
      <c r="D164" s="340">
        <v>10</v>
      </c>
      <c r="E164" s="339" t="s">
        <v>29</v>
      </c>
      <c r="F164">
        <v>3</v>
      </c>
      <c r="G164">
        <v>0</v>
      </c>
      <c r="H164" s="340"/>
      <c r="I164" s="339" t="s">
        <v>833</v>
      </c>
      <c r="J164" t="s">
        <v>256</v>
      </c>
      <c r="K164" s="290"/>
      <c r="L164" s="290"/>
    </row>
    <row r="165" spans="1:13" x14ac:dyDescent="0.25">
      <c r="A165" s="669">
        <v>44885</v>
      </c>
      <c r="B165" s="290" t="s">
        <v>34</v>
      </c>
      <c r="C165" s="327">
        <v>35</v>
      </c>
      <c r="D165" s="340">
        <v>17</v>
      </c>
      <c r="E165" s="339" t="s">
        <v>36</v>
      </c>
      <c r="F165" s="328">
        <v>21</v>
      </c>
      <c r="G165" s="328">
        <v>3</v>
      </c>
      <c r="H165" s="340"/>
      <c r="I165" s="339" t="s">
        <v>785</v>
      </c>
      <c r="J165" t="s">
        <v>848</v>
      </c>
      <c r="K165" s="290"/>
      <c r="L165" s="290"/>
    </row>
    <row r="166" spans="1:13" x14ac:dyDescent="0.25">
      <c r="A166" s="669">
        <v>45256</v>
      </c>
      <c r="B166" s="290" t="s">
        <v>32</v>
      </c>
      <c r="C166" s="327">
        <v>34</v>
      </c>
      <c r="D166" s="340">
        <v>39</v>
      </c>
      <c r="E166" s="339" t="s">
        <v>29</v>
      </c>
      <c r="F166" s="328">
        <v>20</v>
      </c>
      <c r="G166" s="328">
        <v>13</v>
      </c>
      <c r="H166" s="340"/>
      <c r="I166" s="339" t="s">
        <v>785</v>
      </c>
      <c r="J166" t="s">
        <v>308</v>
      </c>
      <c r="K166" s="290"/>
      <c r="L166" s="290"/>
      <c r="M166" s="290"/>
    </row>
    <row r="167" spans="1:13" x14ac:dyDescent="0.25">
      <c r="A167" s="669">
        <v>45256</v>
      </c>
      <c r="B167" s="290" t="s">
        <v>30</v>
      </c>
      <c r="C167" s="327">
        <v>13</v>
      </c>
      <c r="D167" s="340">
        <v>27</v>
      </c>
      <c r="E167" s="339" t="s">
        <v>126</v>
      </c>
      <c r="F167" s="328">
        <v>3</v>
      </c>
      <c r="G167" s="328">
        <v>14</v>
      </c>
      <c r="H167" s="340"/>
      <c r="I167" s="339" t="s">
        <v>785</v>
      </c>
      <c r="J167" t="s">
        <v>326</v>
      </c>
      <c r="K167" s="290"/>
      <c r="L167" s="290"/>
      <c r="M167" s="290"/>
    </row>
    <row r="168" spans="1:13" x14ac:dyDescent="0.25">
      <c r="C168" s="327"/>
      <c r="D168" s="340"/>
      <c r="E168" s="339"/>
      <c r="H168" s="340"/>
      <c r="I168" s="339"/>
      <c r="K168" s="290"/>
      <c r="L168" s="290"/>
    </row>
    <row r="169" spans="1:13" x14ac:dyDescent="0.25">
      <c r="B169" s="455" t="s">
        <v>28</v>
      </c>
      <c r="C169" s="327"/>
      <c r="D169" s="340"/>
      <c r="E169" s="339"/>
      <c r="H169" s="340"/>
      <c r="I169" s="339"/>
      <c r="K169" s="290"/>
      <c r="L169" s="290"/>
    </row>
    <row r="170" spans="1:13" x14ac:dyDescent="0.25">
      <c r="C170" s="327"/>
      <c r="D170" s="340"/>
      <c r="E170" s="339"/>
      <c r="H170" s="340"/>
      <c r="I170" s="339"/>
      <c r="K170" s="290"/>
      <c r="L170" s="290"/>
    </row>
    <row r="171" spans="1:13" x14ac:dyDescent="0.25">
      <c r="C171" s="327"/>
      <c r="D171" s="340"/>
      <c r="E171" s="339"/>
      <c r="H171" s="340"/>
      <c r="I171" s="339"/>
      <c r="K171" s="290"/>
      <c r="L171" s="290"/>
    </row>
    <row r="172" spans="1:13" x14ac:dyDescent="0.25">
      <c r="C172" s="327"/>
      <c r="D172" s="340"/>
      <c r="E172" s="339"/>
      <c r="H172" s="340"/>
      <c r="I172" s="339"/>
      <c r="K172" s="290"/>
      <c r="L172" s="290"/>
    </row>
    <row r="173" spans="1:13" x14ac:dyDescent="0.25">
      <c r="C173" s="327"/>
      <c r="D173" s="340"/>
      <c r="E173" s="339"/>
      <c r="H173" s="340"/>
      <c r="I173" s="339"/>
      <c r="K173" s="290"/>
      <c r="L173" s="290"/>
    </row>
    <row r="174" spans="1:13" x14ac:dyDescent="0.25">
      <c r="B174" s="455"/>
      <c r="C174" s="327"/>
      <c r="D174" s="340"/>
      <c r="E174" s="339"/>
      <c r="F174" s="730" t="s">
        <v>176</v>
      </c>
      <c r="G174" s="730"/>
      <c r="H174" s="730"/>
      <c r="I174" s="339"/>
      <c r="K174" s="290"/>
      <c r="L174" s="290"/>
    </row>
    <row r="175" spans="1:13" x14ac:dyDescent="0.25">
      <c r="C175" s="327"/>
      <c r="D175" s="340"/>
      <c r="E175" s="339"/>
      <c r="H175" s="340"/>
      <c r="I175" s="339"/>
      <c r="K175" s="290"/>
      <c r="L175" s="290"/>
    </row>
    <row r="176" spans="1:13" x14ac:dyDescent="0.25">
      <c r="C176" s="327"/>
      <c r="D176" s="340"/>
      <c r="E176" s="339"/>
      <c r="H176" s="340"/>
      <c r="I176" s="339"/>
      <c r="K176" s="290"/>
      <c r="L176" s="290"/>
    </row>
    <row r="177" spans="3:12" x14ac:dyDescent="0.25">
      <c r="C177" s="327"/>
      <c r="D177" s="340"/>
      <c r="E177" s="339"/>
      <c r="H177" s="340"/>
      <c r="I177" s="339"/>
      <c r="K177" s="290"/>
      <c r="L177" s="290"/>
    </row>
    <row r="178" spans="3:12" x14ac:dyDescent="0.25">
      <c r="C178" s="327"/>
      <c r="D178" s="340"/>
      <c r="E178" s="339"/>
      <c r="H178" s="340"/>
      <c r="I178" s="339"/>
      <c r="K178" s="290"/>
      <c r="L178" s="290"/>
    </row>
    <row r="179" spans="3:12" x14ac:dyDescent="0.25">
      <c r="C179" s="327"/>
      <c r="D179" s="340"/>
      <c r="E179" s="339"/>
      <c r="H179" s="340"/>
      <c r="I179" s="339"/>
      <c r="K179" s="290"/>
      <c r="L179" s="290"/>
    </row>
    <row r="180" spans="3:12" x14ac:dyDescent="0.25">
      <c r="C180" s="327"/>
      <c r="D180" s="340"/>
      <c r="E180" s="339"/>
      <c r="H180" s="340"/>
      <c r="I180" s="339"/>
      <c r="K180" s="290"/>
      <c r="L180" s="290"/>
    </row>
    <row r="181" spans="3:12" x14ac:dyDescent="0.25">
      <c r="C181" s="327"/>
      <c r="D181" s="340"/>
      <c r="E181" s="339"/>
      <c r="H181" s="340"/>
      <c r="I181" s="339"/>
      <c r="K181" s="290"/>
      <c r="L181" s="290"/>
    </row>
    <row r="182" spans="3:12" x14ac:dyDescent="0.25">
      <c r="C182" s="327"/>
      <c r="D182" s="340"/>
      <c r="E182" s="339"/>
      <c r="H182" s="340"/>
      <c r="I182" s="339"/>
      <c r="K182" s="290"/>
      <c r="L182" s="290"/>
    </row>
    <row r="183" spans="3:12" x14ac:dyDescent="0.25">
      <c r="C183" s="327"/>
      <c r="D183" s="340"/>
      <c r="E183" s="339"/>
      <c r="H183" s="340"/>
      <c r="I183" s="339"/>
      <c r="K183" s="290"/>
      <c r="L183" s="290"/>
    </row>
    <row r="184" spans="3:12" x14ac:dyDescent="0.25">
      <c r="C184" s="327"/>
      <c r="D184" s="340"/>
      <c r="E184" s="339"/>
      <c r="H184" s="340"/>
      <c r="I184" s="339"/>
      <c r="K184" s="290"/>
      <c r="L184" s="290"/>
    </row>
    <row r="185" spans="3:12" x14ac:dyDescent="0.25">
      <c r="C185" s="327"/>
      <c r="D185" s="340"/>
      <c r="E185" s="339"/>
      <c r="H185" s="340"/>
      <c r="I185" s="339"/>
      <c r="K185" s="290"/>
      <c r="L185" s="290"/>
    </row>
    <row r="186" spans="3:12" x14ac:dyDescent="0.25">
      <c r="C186" s="327"/>
      <c r="D186" s="340"/>
      <c r="E186" s="339"/>
      <c r="H186" s="340"/>
      <c r="I186" s="339"/>
      <c r="K186" s="290"/>
      <c r="L186" s="290"/>
    </row>
    <row r="187" spans="3:12" x14ac:dyDescent="0.25">
      <c r="C187" s="327"/>
      <c r="D187" s="340"/>
      <c r="E187" s="339"/>
      <c r="H187" s="340"/>
      <c r="I187" s="339"/>
      <c r="K187" s="290"/>
      <c r="L187" s="290"/>
    </row>
    <row r="188" spans="3:12" x14ac:dyDescent="0.25">
      <c r="C188" s="327"/>
      <c r="D188" s="340"/>
      <c r="E188" s="339"/>
      <c r="H188" s="340"/>
      <c r="I188" s="339"/>
      <c r="K188" s="290"/>
      <c r="L188" s="290"/>
    </row>
    <row r="189" spans="3:12" x14ac:dyDescent="0.25">
      <c r="C189" s="327"/>
      <c r="D189" s="340"/>
      <c r="E189" s="339"/>
      <c r="H189" s="340"/>
      <c r="I189" s="339"/>
      <c r="K189" s="290"/>
      <c r="L189" s="290"/>
    </row>
    <row r="190" spans="3:12" x14ac:dyDescent="0.25">
      <c r="C190" s="327"/>
      <c r="D190" s="340"/>
      <c r="E190" s="339"/>
      <c r="H190" s="340"/>
      <c r="I190" s="339"/>
      <c r="K190" s="290"/>
      <c r="L190" s="290"/>
    </row>
    <row r="191" spans="3:12" x14ac:dyDescent="0.25">
      <c r="C191" s="327"/>
      <c r="D191" s="340"/>
      <c r="E191" s="339"/>
      <c r="H191" s="340"/>
      <c r="I191" s="339"/>
      <c r="K191" s="290"/>
      <c r="L191" s="290"/>
    </row>
    <row r="192" spans="3:12" x14ac:dyDescent="0.25">
      <c r="C192" s="327"/>
      <c r="D192" s="340"/>
      <c r="E192" s="339"/>
      <c r="H192" s="340"/>
      <c r="I192" s="339"/>
      <c r="K192" s="290"/>
      <c r="L192" s="290"/>
    </row>
    <row r="193" spans="3:12" x14ac:dyDescent="0.25">
      <c r="C193" s="327"/>
      <c r="D193" s="340"/>
      <c r="E193" s="339"/>
      <c r="H193" s="340"/>
      <c r="I193" s="339"/>
      <c r="K193" s="290"/>
      <c r="L193" s="290"/>
    </row>
    <row r="194" spans="3:12" x14ac:dyDescent="0.25">
      <c r="C194" s="327"/>
      <c r="D194" s="340"/>
      <c r="E194" s="339"/>
      <c r="H194" s="340"/>
      <c r="I194" s="339"/>
      <c r="K194" s="290"/>
      <c r="L194" s="290"/>
    </row>
    <row r="195" spans="3:12" x14ac:dyDescent="0.25">
      <c r="C195" s="327"/>
      <c r="D195" s="340"/>
      <c r="E195" s="339"/>
      <c r="H195" s="340"/>
      <c r="I195" s="339"/>
      <c r="K195" s="290"/>
      <c r="L195" s="290"/>
    </row>
    <row r="196" spans="3:12" x14ac:dyDescent="0.25">
      <c r="C196" s="327"/>
      <c r="D196" s="340"/>
      <c r="E196" s="339"/>
      <c r="H196" s="340"/>
      <c r="I196" s="339"/>
      <c r="K196" s="290"/>
      <c r="L196" s="290"/>
    </row>
    <row r="197" spans="3:12" x14ac:dyDescent="0.25">
      <c r="C197" s="327"/>
      <c r="D197" s="340"/>
      <c r="E197" s="339"/>
      <c r="H197" s="340"/>
      <c r="I197" s="339"/>
      <c r="K197" s="290"/>
      <c r="L197" s="290"/>
    </row>
    <row r="198" spans="3:12" x14ac:dyDescent="0.25">
      <c r="C198" s="327"/>
      <c r="D198" s="340"/>
      <c r="E198" s="339"/>
      <c r="H198" s="340"/>
      <c r="I198" s="339"/>
      <c r="K198" s="290"/>
      <c r="L198" s="290"/>
    </row>
    <row r="199" spans="3:12" x14ac:dyDescent="0.25">
      <c r="C199" s="327"/>
      <c r="D199" s="340"/>
      <c r="E199" s="339"/>
      <c r="H199" s="340"/>
      <c r="I199" s="339"/>
      <c r="K199" s="290"/>
      <c r="L199" s="290"/>
    </row>
    <row r="200" spans="3:12" x14ac:dyDescent="0.25">
      <c r="C200" s="327"/>
      <c r="D200" s="340"/>
      <c r="E200" s="339"/>
      <c r="H200" s="340"/>
      <c r="I200" s="339"/>
      <c r="K200" s="290"/>
      <c r="L200" s="290"/>
    </row>
    <row r="201" spans="3:12" x14ac:dyDescent="0.25">
      <c r="C201" s="327"/>
      <c r="D201" s="340"/>
      <c r="E201" s="339"/>
      <c r="H201" s="340"/>
      <c r="I201" s="339"/>
      <c r="K201" s="290"/>
      <c r="L201" s="290"/>
    </row>
    <row r="202" spans="3:12" x14ac:dyDescent="0.25">
      <c r="C202" s="327"/>
      <c r="D202" s="340"/>
      <c r="E202" s="339"/>
      <c r="H202" s="340"/>
      <c r="I202" s="339"/>
      <c r="K202" s="290"/>
      <c r="L202" s="290"/>
    </row>
    <row r="203" spans="3:12" x14ac:dyDescent="0.25">
      <c r="C203" s="327"/>
      <c r="D203" s="340"/>
      <c r="E203" s="339"/>
      <c r="H203" s="340"/>
      <c r="I203" s="339"/>
      <c r="K203" s="290"/>
      <c r="L203" s="290"/>
    </row>
    <row r="204" spans="3:12" x14ac:dyDescent="0.25">
      <c r="C204" s="327"/>
      <c r="D204" s="340"/>
      <c r="E204" s="339"/>
      <c r="H204" s="340"/>
      <c r="I204" s="339"/>
      <c r="K204" s="290"/>
      <c r="L204" s="290"/>
    </row>
    <row r="205" spans="3:12" x14ac:dyDescent="0.25">
      <c r="C205" s="327"/>
      <c r="D205" s="340"/>
      <c r="E205" s="339"/>
      <c r="H205" s="340"/>
      <c r="I205" s="339"/>
      <c r="K205" s="290"/>
      <c r="L205" s="290"/>
    </row>
    <row r="206" spans="3:12" x14ac:dyDescent="0.25">
      <c r="C206" s="327"/>
      <c r="D206" s="340"/>
      <c r="E206" s="339"/>
      <c r="H206" s="340"/>
      <c r="I206" s="339"/>
      <c r="K206" s="290"/>
      <c r="L206" s="290"/>
    </row>
    <row r="207" spans="3:12" x14ac:dyDescent="0.25">
      <c r="C207" s="327"/>
      <c r="D207" s="340"/>
      <c r="E207" s="339"/>
      <c r="H207" s="340"/>
      <c r="I207" s="339"/>
      <c r="K207" s="290"/>
      <c r="L207" s="290"/>
    </row>
    <row r="208" spans="3:12" x14ac:dyDescent="0.25">
      <c r="C208" s="327"/>
      <c r="D208" s="340"/>
      <c r="E208" s="339"/>
      <c r="H208" s="340"/>
      <c r="I208" s="339"/>
      <c r="K208" s="290"/>
      <c r="L208" s="290"/>
    </row>
    <row r="209" spans="3:12" x14ac:dyDescent="0.25">
      <c r="C209" s="327"/>
      <c r="D209" s="340"/>
      <c r="E209" s="339"/>
      <c r="H209" s="340"/>
      <c r="I209" s="339"/>
      <c r="K209" s="290"/>
      <c r="L209" s="290"/>
    </row>
    <row r="210" spans="3:12" x14ac:dyDescent="0.25">
      <c r="C210" s="327"/>
      <c r="D210" s="340"/>
      <c r="E210" s="339"/>
      <c r="H210" s="340"/>
      <c r="I210" s="339"/>
      <c r="K210" s="290"/>
      <c r="L210" s="290"/>
    </row>
    <row r="211" spans="3:12" x14ac:dyDescent="0.25">
      <c r="C211" s="327"/>
      <c r="D211" s="340"/>
      <c r="E211" s="339"/>
      <c r="H211" s="340"/>
      <c r="I211" s="339"/>
      <c r="K211" s="290"/>
      <c r="L211" s="290"/>
    </row>
    <row r="212" spans="3:12" x14ac:dyDescent="0.25">
      <c r="C212" s="327"/>
      <c r="D212" s="340"/>
      <c r="E212" s="339"/>
      <c r="H212" s="340"/>
      <c r="I212" s="339"/>
      <c r="K212" s="290"/>
      <c r="L212" s="290"/>
    </row>
    <row r="213" spans="3:12" x14ac:dyDescent="0.25">
      <c r="C213" s="327"/>
      <c r="D213" s="340"/>
      <c r="E213" s="339"/>
      <c r="H213" s="340"/>
      <c r="I213" s="339"/>
      <c r="K213" s="290"/>
      <c r="L213" s="290"/>
    </row>
    <row r="214" spans="3:12" x14ac:dyDescent="0.25">
      <c r="C214" s="327"/>
      <c r="D214" s="340"/>
      <c r="E214" s="339"/>
      <c r="H214" s="340"/>
      <c r="I214" s="339"/>
      <c r="K214" s="290"/>
      <c r="L214" s="290"/>
    </row>
    <row r="215" spans="3:12" x14ac:dyDescent="0.25">
      <c r="C215" s="327"/>
      <c r="D215" s="340"/>
      <c r="E215" s="339"/>
      <c r="H215" s="340"/>
      <c r="I215" s="339"/>
      <c r="K215" s="290"/>
      <c r="L215" s="290"/>
    </row>
    <row r="216" spans="3:12" x14ac:dyDescent="0.25">
      <c r="C216" s="327"/>
      <c r="D216" s="340"/>
      <c r="E216" s="339"/>
      <c r="H216" s="340"/>
      <c r="I216" s="339"/>
      <c r="K216" s="290"/>
      <c r="L216" s="290"/>
    </row>
    <row r="217" spans="3:12" x14ac:dyDescent="0.25">
      <c r="C217" s="327"/>
      <c r="D217" s="340"/>
      <c r="E217" s="339"/>
      <c r="H217" s="340"/>
      <c r="I217" s="339"/>
      <c r="K217" s="290"/>
      <c r="L217" s="290"/>
    </row>
    <row r="218" spans="3:12" x14ac:dyDescent="0.25">
      <c r="C218" s="327"/>
      <c r="D218" s="340"/>
      <c r="E218" s="339"/>
      <c r="H218" s="340"/>
      <c r="I218" s="339"/>
      <c r="K218" s="290"/>
      <c r="L218" s="290"/>
    </row>
    <row r="219" spans="3:12" x14ac:dyDescent="0.25">
      <c r="C219" s="327"/>
      <c r="D219" s="340"/>
      <c r="E219" s="339"/>
      <c r="H219" s="340"/>
      <c r="I219" s="339"/>
      <c r="K219" s="290"/>
      <c r="L219" s="290"/>
    </row>
    <row r="220" spans="3:12" x14ac:dyDescent="0.25">
      <c r="C220" s="327"/>
      <c r="D220" s="340"/>
      <c r="E220" s="339"/>
      <c r="H220" s="340"/>
      <c r="I220" s="339"/>
      <c r="K220" s="290"/>
      <c r="L220" s="290"/>
    </row>
    <row r="221" spans="3:12" x14ac:dyDescent="0.25">
      <c r="C221" s="327"/>
      <c r="D221" s="340"/>
      <c r="E221" s="339"/>
      <c r="H221" s="340"/>
      <c r="I221" s="339"/>
      <c r="K221" s="290"/>
      <c r="L221" s="290"/>
    </row>
    <row r="222" spans="3:12" x14ac:dyDescent="0.25">
      <c r="C222" s="327"/>
      <c r="D222" s="340"/>
      <c r="E222" s="339"/>
      <c r="H222" s="340"/>
      <c r="I222" s="339"/>
      <c r="K222" s="290"/>
      <c r="L222" s="290"/>
    </row>
    <row r="223" spans="3:12" x14ac:dyDescent="0.25">
      <c r="C223" s="327"/>
      <c r="D223" s="340"/>
      <c r="E223" s="339"/>
      <c r="H223" s="340"/>
      <c r="I223" s="339"/>
      <c r="K223" s="290"/>
      <c r="L223" s="290"/>
    </row>
    <row r="224" spans="3:12" x14ac:dyDescent="0.25">
      <c r="C224" s="327"/>
      <c r="D224" s="340"/>
      <c r="E224" s="339"/>
      <c r="H224" s="340"/>
      <c r="I224" s="339"/>
      <c r="K224" s="290"/>
      <c r="L224" s="290"/>
    </row>
    <row r="225" spans="3:13" x14ac:dyDescent="0.25">
      <c r="C225" s="327"/>
      <c r="D225" s="340"/>
      <c r="E225" s="339"/>
      <c r="H225" s="340"/>
      <c r="I225" s="339"/>
      <c r="K225" s="290"/>
      <c r="L225" s="290"/>
    </row>
    <row r="226" spans="3:13" x14ac:dyDescent="0.25">
      <c r="C226" s="327"/>
      <c r="D226" s="340"/>
      <c r="E226" s="339"/>
      <c r="H226" s="340"/>
      <c r="I226" s="339"/>
      <c r="K226" s="290"/>
      <c r="L226" s="290"/>
    </row>
    <row r="227" spans="3:13" x14ac:dyDescent="0.25">
      <c r="C227" s="327"/>
      <c r="D227" s="340"/>
      <c r="E227" s="339"/>
      <c r="H227" s="340"/>
      <c r="I227" s="339"/>
      <c r="K227" s="290"/>
      <c r="L227" s="290"/>
      <c r="M227" s="290"/>
    </row>
    <row r="228" spans="3:13" x14ac:dyDescent="0.25">
      <c r="C228" s="327"/>
      <c r="D228" s="340"/>
      <c r="E228" s="339"/>
      <c r="H228" s="340"/>
      <c r="I228" s="339"/>
      <c r="K228" s="290"/>
      <c r="L228" s="290"/>
      <c r="M228" s="290"/>
    </row>
    <row r="229" spans="3:13" x14ac:dyDescent="0.25">
      <c r="C229" s="327"/>
      <c r="D229" s="340"/>
      <c r="E229" s="339"/>
      <c r="H229" s="340"/>
      <c r="I229" s="339"/>
      <c r="K229" s="290"/>
      <c r="L229" s="290"/>
      <c r="M229" s="290"/>
    </row>
    <row r="230" spans="3:13" x14ac:dyDescent="0.25">
      <c r="C230" s="327"/>
      <c r="D230" s="340"/>
      <c r="E230" s="339"/>
      <c r="H230" s="340"/>
      <c r="I230" s="339"/>
      <c r="K230" s="290"/>
      <c r="L230" s="290"/>
      <c r="M230" s="290"/>
    </row>
    <row r="231" spans="3:13" x14ac:dyDescent="0.25">
      <c r="C231" s="327"/>
      <c r="D231" s="340"/>
      <c r="E231" s="339"/>
      <c r="H231" s="340"/>
      <c r="I231" s="339"/>
      <c r="K231" s="290"/>
      <c r="L231" s="290"/>
      <c r="M231" s="290"/>
    </row>
    <row r="232" spans="3:13" x14ac:dyDescent="0.25">
      <c r="C232" s="327"/>
      <c r="D232" s="340"/>
      <c r="E232" s="339"/>
      <c r="H232" s="340"/>
      <c r="I232" s="339"/>
      <c r="K232" s="290"/>
      <c r="L232" s="290"/>
      <c r="M232" s="290"/>
    </row>
    <row r="233" spans="3:13" x14ac:dyDescent="0.25">
      <c r="C233" s="327"/>
      <c r="D233" s="340"/>
      <c r="E233" s="339"/>
      <c r="H233" s="340"/>
      <c r="I233" s="339"/>
      <c r="K233" s="290"/>
      <c r="L233" s="290"/>
      <c r="M233" s="290"/>
    </row>
    <row r="234" spans="3:13" x14ac:dyDescent="0.25">
      <c r="C234" s="327"/>
      <c r="D234" s="340"/>
      <c r="E234" s="339"/>
      <c r="H234" s="340"/>
      <c r="I234" s="339"/>
      <c r="K234" s="290"/>
      <c r="L234" s="290"/>
      <c r="M234" s="290"/>
    </row>
    <row r="235" spans="3:13" x14ac:dyDescent="0.25">
      <c r="C235" s="327"/>
      <c r="D235" s="340"/>
      <c r="E235" s="339"/>
      <c r="H235" s="340"/>
      <c r="I235" s="339"/>
      <c r="K235" s="290"/>
      <c r="L235" s="290"/>
      <c r="M235" s="290"/>
    </row>
    <row r="236" spans="3:13" x14ac:dyDescent="0.25">
      <c r="C236" s="327"/>
      <c r="D236" s="340"/>
      <c r="E236" s="339"/>
      <c r="H236" s="340"/>
      <c r="I236" s="339"/>
      <c r="K236" s="290"/>
      <c r="L236" s="290"/>
      <c r="M236" s="290"/>
    </row>
    <row r="237" spans="3:13" x14ac:dyDescent="0.25">
      <c r="C237" s="327"/>
      <c r="D237" s="340"/>
      <c r="E237" s="339"/>
      <c r="H237" s="340"/>
      <c r="I237" s="339"/>
      <c r="K237" s="290"/>
      <c r="L237" s="290"/>
      <c r="M237" s="290"/>
    </row>
    <row r="238" spans="3:13" x14ac:dyDescent="0.25">
      <c r="C238" s="327"/>
      <c r="D238" s="340"/>
      <c r="E238" s="339"/>
      <c r="H238" s="340"/>
      <c r="I238" s="339"/>
      <c r="K238" s="290"/>
      <c r="L238" s="290"/>
      <c r="M238" s="290"/>
    </row>
    <row r="239" spans="3:13" x14ac:dyDescent="0.25">
      <c r="C239" s="327"/>
      <c r="D239" s="340"/>
      <c r="E239" s="339"/>
      <c r="H239" s="340"/>
      <c r="I239" s="339"/>
      <c r="K239" s="290"/>
      <c r="L239" s="290"/>
      <c r="M239" s="290"/>
    </row>
    <row r="240" spans="3:13" x14ac:dyDescent="0.25">
      <c r="C240" s="327"/>
      <c r="D240" s="340"/>
      <c r="E240" s="339"/>
      <c r="H240" s="340"/>
      <c r="I240" s="339"/>
      <c r="L240" s="290"/>
      <c r="M240" s="290"/>
    </row>
    <row r="241" spans="3:13" x14ac:dyDescent="0.25">
      <c r="C241" s="327"/>
      <c r="D241" s="340"/>
      <c r="E241" s="339"/>
      <c r="H241" s="340"/>
      <c r="I241" s="339"/>
      <c r="L241" s="290"/>
      <c r="M241" s="290"/>
    </row>
    <row r="242" spans="3:13" x14ac:dyDescent="0.25">
      <c r="C242" s="327"/>
      <c r="D242" s="340"/>
      <c r="E242" s="339"/>
      <c r="H242" s="340"/>
      <c r="I242" s="339"/>
      <c r="L242" s="290"/>
      <c r="M242" s="290"/>
    </row>
    <row r="243" spans="3:13" x14ac:dyDescent="0.25">
      <c r="C243" s="327"/>
      <c r="D243" s="340"/>
      <c r="E243" s="339"/>
      <c r="H243" s="340"/>
      <c r="I243" s="339"/>
      <c r="L243" s="290"/>
      <c r="M243" s="290"/>
    </row>
    <row r="244" spans="3:13" x14ac:dyDescent="0.25">
      <c r="C244" s="327"/>
      <c r="D244" s="340"/>
      <c r="E244" s="339"/>
      <c r="H244" s="340"/>
      <c r="I244" s="339"/>
      <c r="L244" s="290"/>
      <c r="M244" s="290"/>
    </row>
    <row r="245" spans="3:13" x14ac:dyDescent="0.25">
      <c r="C245" s="327"/>
      <c r="D245" s="340"/>
      <c r="E245" s="339"/>
      <c r="H245" s="340"/>
      <c r="I245" s="339"/>
      <c r="L245" s="290"/>
      <c r="M245" s="290"/>
    </row>
    <row r="246" spans="3:13" x14ac:dyDescent="0.25">
      <c r="C246" s="327"/>
      <c r="D246" s="340"/>
      <c r="E246" s="339"/>
      <c r="H246" s="340"/>
      <c r="I246" s="339"/>
      <c r="L246" s="290"/>
      <c r="M246" s="290"/>
    </row>
    <row r="247" spans="3:13" x14ac:dyDescent="0.25">
      <c r="C247" s="327"/>
      <c r="D247" s="340"/>
      <c r="E247" s="339"/>
      <c r="H247" s="340"/>
      <c r="I247" s="339"/>
      <c r="L247" s="290"/>
      <c r="M247" s="290"/>
    </row>
    <row r="248" spans="3:13" x14ac:dyDescent="0.25">
      <c r="C248" s="327"/>
      <c r="D248" s="340"/>
      <c r="E248" s="339"/>
      <c r="H248" s="340"/>
      <c r="I248" s="339"/>
      <c r="L248" s="290"/>
      <c r="M248" s="290"/>
    </row>
    <row r="249" spans="3:13" x14ac:dyDescent="0.25">
      <c r="C249" s="327"/>
      <c r="D249" s="340"/>
      <c r="E249" s="339"/>
      <c r="H249" s="340"/>
      <c r="I249" s="339"/>
      <c r="L249" s="290"/>
      <c r="M249" s="290"/>
    </row>
    <row r="250" spans="3:13" x14ac:dyDescent="0.25">
      <c r="C250" s="327"/>
      <c r="D250" s="340"/>
      <c r="E250" s="339"/>
      <c r="H250" s="340"/>
      <c r="I250" s="339"/>
      <c r="L250" s="290"/>
    </row>
    <row r="251" spans="3:13" x14ac:dyDescent="0.25">
      <c r="C251" s="327"/>
      <c r="D251" s="340"/>
      <c r="E251" s="339"/>
      <c r="H251" s="340"/>
      <c r="I251" s="339"/>
      <c r="L251" s="290"/>
    </row>
    <row r="252" spans="3:13" x14ac:dyDescent="0.25">
      <c r="C252" s="327"/>
      <c r="D252" s="340"/>
      <c r="E252" s="339"/>
      <c r="H252" s="340"/>
      <c r="I252" s="339"/>
      <c r="L252" s="290"/>
    </row>
    <row r="253" spans="3:13" x14ac:dyDescent="0.25">
      <c r="C253" s="327"/>
      <c r="D253" s="340"/>
      <c r="E253" s="339"/>
      <c r="H253" s="340"/>
      <c r="I253" s="339"/>
      <c r="L253" s="290"/>
    </row>
    <row r="254" spans="3:13" x14ac:dyDescent="0.25">
      <c r="C254" s="327"/>
      <c r="D254" s="340"/>
      <c r="E254" s="339"/>
      <c r="H254" s="340"/>
      <c r="I254" s="339"/>
      <c r="L254" s="290"/>
    </row>
    <row r="255" spans="3:13" x14ac:dyDescent="0.25">
      <c r="C255" s="327"/>
      <c r="D255" s="340"/>
      <c r="E255" s="339"/>
      <c r="H255" s="340"/>
      <c r="I255" s="339"/>
      <c r="L255" s="290"/>
    </row>
    <row r="256" spans="3:13" x14ac:dyDescent="0.25">
      <c r="C256" s="327"/>
      <c r="D256" s="340"/>
      <c r="E256" s="339"/>
      <c r="H256" s="340"/>
      <c r="I256" s="339"/>
      <c r="L256" s="290"/>
    </row>
    <row r="257" spans="3:12" x14ac:dyDescent="0.25">
      <c r="C257" s="327"/>
      <c r="D257" s="340"/>
      <c r="E257" s="339"/>
      <c r="H257" s="340"/>
      <c r="I257" s="339"/>
      <c r="L257" s="290"/>
    </row>
    <row r="258" spans="3:12" x14ac:dyDescent="0.25">
      <c r="C258" s="327"/>
      <c r="D258" s="340"/>
      <c r="E258" s="339"/>
      <c r="H258" s="340"/>
      <c r="I258" s="339"/>
      <c r="L258" s="290"/>
    </row>
    <row r="259" spans="3:12" x14ac:dyDescent="0.25">
      <c r="C259" s="327"/>
      <c r="D259" s="340"/>
      <c r="E259" s="339"/>
      <c r="H259" s="340"/>
      <c r="I259" s="339"/>
      <c r="L259" s="290"/>
    </row>
    <row r="260" spans="3:12" x14ac:dyDescent="0.25">
      <c r="C260" s="327"/>
      <c r="D260" s="340"/>
      <c r="E260" s="339"/>
      <c r="H260" s="340"/>
      <c r="I260" s="339"/>
      <c r="L260" s="290"/>
    </row>
    <row r="261" spans="3:12" x14ac:dyDescent="0.25">
      <c r="C261" s="327"/>
      <c r="D261" s="340"/>
      <c r="E261" s="339"/>
      <c r="H261" s="340"/>
      <c r="I261" s="339"/>
      <c r="L261" s="290"/>
    </row>
    <row r="262" spans="3:12" x14ac:dyDescent="0.25">
      <c r="C262" s="327"/>
      <c r="D262" s="340"/>
      <c r="E262" s="339"/>
      <c r="H262" s="340"/>
      <c r="I262" s="339"/>
    </row>
    <row r="263" spans="3:12" x14ac:dyDescent="0.25">
      <c r="C263" s="327"/>
      <c r="D263" s="340"/>
      <c r="E263" s="339"/>
      <c r="H263" s="340"/>
      <c r="I263" s="339"/>
    </row>
    <row r="264" spans="3:12" x14ac:dyDescent="0.25">
      <c r="C264" s="327"/>
      <c r="D264" s="340"/>
      <c r="E264" s="339"/>
      <c r="H264" s="340"/>
      <c r="I264" s="339"/>
    </row>
    <row r="265" spans="3:12" x14ac:dyDescent="0.25">
      <c r="C265" s="327"/>
      <c r="D265" s="340"/>
      <c r="E265" s="339"/>
      <c r="H265" s="340"/>
      <c r="I265" s="339"/>
    </row>
    <row r="266" spans="3:12" x14ac:dyDescent="0.25">
      <c r="C266" s="327"/>
      <c r="D266" s="340"/>
      <c r="E266" s="339"/>
      <c r="H266" s="340"/>
      <c r="I266" s="339"/>
    </row>
    <row r="267" spans="3:12" x14ac:dyDescent="0.25">
      <c r="C267" s="327"/>
      <c r="D267" s="340"/>
      <c r="E267" s="339"/>
      <c r="H267" s="340"/>
      <c r="I267" s="339"/>
    </row>
    <row r="268" spans="3:12" x14ac:dyDescent="0.25">
      <c r="C268" s="327"/>
      <c r="D268" s="340"/>
      <c r="E268" s="339"/>
      <c r="H268" s="340"/>
      <c r="I268" s="339"/>
    </row>
  </sheetData>
  <mergeCells count="2">
    <mergeCell ref="F46:H46"/>
    <mergeCell ref="F174:H17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N24"/>
  <sheetViews>
    <sheetView zoomScaleNormal="100" workbookViewId="0">
      <selection activeCell="V6" sqref="V6"/>
    </sheetView>
  </sheetViews>
  <sheetFormatPr defaultRowHeight="14.3" x14ac:dyDescent="0.25"/>
  <cols>
    <col min="1" max="1" width="7.5" customWidth="1"/>
    <col min="2" max="2" width="4.5" bestFit="1" customWidth="1"/>
    <col min="3" max="3" width="12.625" customWidth="1"/>
    <col min="4" max="4" width="4.875" customWidth="1"/>
    <col min="5" max="5" width="3.625" customWidth="1"/>
    <col min="6" max="7" width="4" bestFit="1" customWidth="1"/>
    <col min="8" max="18" width="3.625" customWidth="1"/>
    <col min="19" max="20" width="6.375" customWidth="1"/>
    <col min="21" max="21" width="22.125" bestFit="1" customWidth="1"/>
    <col min="22" max="22" width="26.25" bestFit="1" customWidth="1"/>
    <col min="23" max="23" width="25.875" bestFit="1" customWidth="1"/>
    <col min="24" max="24" width="26.125" bestFit="1" customWidth="1"/>
    <col min="25" max="40" width="3.625" customWidth="1"/>
  </cols>
  <sheetData>
    <row r="1" spans="1:40" ht="14.95" customHeight="1" thickBot="1" x14ac:dyDescent="0.3">
      <c r="A1" s="901" t="s">
        <v>209</v>
      </c>
      <c r="B1" s="902"/>
      <c r="C1" s="902"/>
      <c r="D1" s="157"/>
      <c r="E1" s="903" t="s">
        <v>24</v>
      </c>
      <c r="F1" s="904"/>
      <c r="G1" s="905"/>
      <c r="H1" s="903" t="s">
        <v>23</v>
      </c>
      <c r="I1" s="905"/>
      <c r="J1" s="898" t="s">
        <v>6</v>
      </c>
      <c r="K1" s="899"/>
      <c r="L1" s="899"/>
      <c r="M1" s="900"/>
      <c r="N1" s="898" t="s">
        <v>7</v>
      </c>
      <c r="O1" s="900"/>
      <c r="P1" s="898" t="s">
        <v>25</v>
      </c>
      <c r="Q1" s="899"/>
      <c r="R1" s="900"/>
      <c r="S1" s="361" t="s">
        <v>8</v>
      </c>
      <c r="T1" s="361" t="s">
        <v>9</v>
      </c>
      <c r="U1" s="106" t="s">
        <v>10</v>
      </c>
      <c r="V1" s="105" t="s">
        <v>11</v>
      </c>
      <c r="W1" s="106" t="s">
        <v>26</v>
      </c>
      <c r="X1" s="105" t="s">
        <v>27</v>
      </c>
      <c r="Y1" s="906" t="s">
        <v>20</v>
      </c>
      <c r="Z1" s="753"/>
      <c r="AA1" s="753"/>
      <c r="AB1" s="754"/>
      <c r="AC1" s="906" t="s">
        <v>61</v>
      </c>
      <c r="AD1" s="753"/>
      <c r="AE1" s="753"/>
      <c r="AF1" s="754"/>
      <c r="AG1" s="906" t="s">
        <v>62</v>
      </c>
      <c r="AH1" s="753"/>
      <c r="AI1" s="753"/>
      <c r="AJ1" s="754"/>
      <c r="AK1" s="906" t="s">
        <v>63</v>
      </c>
      <c r="AL1" s="753"/>
      <c r="AM1" s="753"/>
      <c r="AN1" s="754"/>
    </row>
    <row r="2" spans="1:40" ht="14.95" customHeight="1" thickBot="1" x14ac:dyDescent="0.3">
      <c r="A2" s="107" t="s">
        <v>19</v>
      </c>
      <c r="B2" s="108" t="s">
        <v>18</v>
      </c>
      <c r="C2" s="109" t="s">
        <v>17</v>
      </c>
      <c r="D2" s="110" t="s">
        <v>41</v>
      </c>
      <c r="E2" s="110" t="s">
        <v>16</v>
      </c>
      <c r="F2" s="110" t="s">
        <v>4</v>
      </c>
      <c r="G2" s="110" t="s">
        <v>5</v>
      </c>
      <c r="H2" s="111" t="s">
        <v>12</v>
      </c>
      <c r="I2" s="111" t="s">
        <v>3</v>
      </c>
      <c r="J2" s="111" t="s">
        <v>12</v>
      </c>
      <c r="K2" s="111" t="s">
        <v>13</v>
      </c>
      <c r="L2" s="111" t="s">
        <v>2</v>
      </c>
      <c r="M2" s="111" t="s">
        <v>14</v>
      </c>
      <c r="N2" s="111" t="s">
        <v>15</v>
      </c>
      <c r="O2" s="111" t="s">
        <v>16</v>
      </c>
      <c r="P2" s="111" t="s">
        <v>21</v>
      </c>
      <c r="Q2" s="111" t="s">
        <v>22</v>
      </c>
      <c r="R2" s="111" t="s">
        <v>12</v>
      </c>
      <c r="S2" s="112"/>
      <c r="T2" s="113"/>
      <c r="U2" s="114"/>
      <c r="V2" s="112"/>
      <c r="W2" s="114"/>
      <c r="X2" s="175"/>
      <c r="Y2" s="445" t="s">
        <v>0</v>
      </c>
      <c r="Z2" s="445" t="s">
        <v>1</v>
      </c>
      <c r="AA2" s="445" t="s">
        <v>2</v>
      </c>
      <c r="AB2" s="445" t="s">
        <v>3</v>
      </c>
      <c r="AC2" s="445" t="s">
        <v>0</v>
      </c>
      <c r="AD2" s="445" t="s">
        <v>1</v>
      </c>
      <c r="AE2" s="445" t="s">
        <v>2</v>
      </c>
      <c r="AF2" s="445" t="s">
        <v>3</v>
      </c>
      <c r="AG2" s="445" t="s">
        <v>0</v>
      </c>
      <c r="AH2" s="445" t="s">
        <v>1</v>
      </c>
      <c r="AI2" s="445" t="s">
        <v>2</v>
      </c>
      <c r="AJ2" s="445" t="s">
        <v>3</v>
      </c>
      <c r="AK2" s="445" t="s">
        <v>0</v>
      </c>
      <c r="AL2" s="445" t="s">
        <v>1</v>
      </c>
      <c r="AM2" s="445" t="s">
        <v>2</v>
      </c>
      <c r="AN2" s="445" t="s">
        <v>3</v>
      </c>
    </row>
    <row r="3" spans="1:40" ht="14.95" customHeight="1" thickBot="1" x14ac:dyDescent="0.35">
      <c r="A3" s="545">
        <v>44597</v>
      </c>
      <c r="B3" s="546" t="s">
        <v>110</v>
      </c>
      <c r="C3" s="529" t="s">
        <v>104</v>
      </c>
      <c r="D3" s="530" t="s">
        <v>193</v>
      </c>
      <c r="E3" s="530" t="s">
        <v>1</v>
      </c>
      <c r="F3" s="530">
        <v>34</v>
      </c>
      <c r="G3" s="530">
        <v>25</v>
      </c>
      <c r="H3" s="530">
        <v>1</v>
      </c>
      <c r="I3" s="530">
        <v>0</v>
      </c>
      <c r="J3" s="530">
        <v>4</v>
      </c>
      <c r="K3" s="530">
        <v>4</v>
      </c>
      <c r="L3" s="530">
        <v>0</v>
      </c>
      <c r="M3" s="530">
        <v>2</v>
      </c>
      <c r="N3" s="530">
        <v>2</v>
      </c>
      <c r="O3" s="530">
        <v>0</v>
      </c>
      <c r="P3" s="530">
        <v>0</v>
      </c>
      <c r="Q3" s="530">
        <v>0</v>
      </c>
      <c r="R3" s="530">
        <v>3</v>
      </c>
      <c r="S3" s="531">
        <v>2700</v>
      </c>
      <c r="T3" s="559" t="s">
        <v>245</v>
      </c>
      <c r="U3" s="533" t="s">
        <v>246</v>
      </c>
      <c r="V3" s="531" t="s">
        <v>247</v>
      </c>
      <c r="W3" s="534" t="s">
        <v>248</v>
      </c>
      <c r="X3" s="535" t="s">
        <v>249</v>
      </c>
      <c r="Y3" s="536">
        <v>1</v>
      </c>
      <c r="Z3" s="536">
        <v>1</v>
      </c>
      <c r="AA3" s="536">
        <v>0</v>
      </c>
      <c r="AB3" s="537">
        <v>0</v>
      </c>
      <c r="AC3" s="536">
        <v>1</v>
      </c>
      <c r="AD3" s="536">
        <v>1</v>
      </c>
      <c r="AE3" s="536">
        <v>0</v>
      </c>
      <c r="AF3" s="537">
        <v>0</v>
      </c>
      <c r="AG3" s="536">
        <v>0</v>
      </c>
      <c r="AH3" s="536">
        <v>0</v>
      </c>
      <c r="AI3" s="536">
        <v>0</v>
      </c>
      <c r="AJ3" s="537">
        <v>0</v>
      </c>
      <c r="AK3" s="536">
        <v>0</v>
      </c>
      <c r="AL3" s="536">
        <v>0</v>
      </c>
      <c r="AM3" s="536">
        <v>0</v>
      </c>
      <c r="AN3" s="537">
        <v>0</v>
      </c>
    </row>
    <row r="4" spans="1:40" ht="14.95" customHeight="1" thickBot="1" x14ac:dyDescent="0.3">
      <c r="A4" s="545">
        <v>44604</v>
      </c>
      <c r="B4" s="546" t="s">
        <v>110</v>
      </c>
      <c r="C4" s="529" t="s">
        <v>125</v>
      </c>
      <c r="D4" s="530" t="s">
        <v>193</v>
      </c>
      <c r="E4" s="530" t="s">
        <v>1</v>
      </c>
      <c r="F4" s="530">
        <v>37</v>
      </c>
      <c r="G4" s="530">
        <v>27</v>
      </c>
      <c r="H4" s="530">
        <v>1</v>
      </c>
      <c r="I4" s="530">
        <v>0</v>
      </c>
      <c r="J4" s="530">
        <v>4</v>
      </c>
      <c r="K4" s="530">
        <v>4</v>
      </c>
      <c r="L4" s="530">
        <v>0</v>
      </c>
      <c r="M4" s="530">
        <v>3</v>
      </c>
      <c r="N4" s="530">
        <v>0</v>
      </c>
      <c r="O4" s="530">
        <v>0</v>
      </c>
      <c r="P4" s="530">
        <v>1</v>
      </c>
      <c r="Q4" s="530">
        <v>0</v>
      </c>
      <c r="R4" s="530">
        <v>4</v>
      </c>
      <c r="S4" s="531">
        <v>2700</v>
      </c>
      <c r="T4" s="544" t="s">
        <v>298</v>
      </c>
      <c r="U4" s="533" t="s">
        <v>299</v>
      </c>
      <c r="V4" s="531" t="s">
        <v>300</v>
      </c>
      <c r="W4" s="534" t="s">
        <v>301</v>
      </c>
      <c r="X4" s="535" t="s">
        <v>302</v>
      </c>
      <c r="Y4" s="536">
        <v>1</v>
      </c>
      <c r="Z4" s="536">
        <v>1</v>
      </c>
      <c r="AA4" s="536">
        <v>0</v>
      </c>
      <c r="AB4" s="537">
        <v>0</v>
      </c>
      <c r="AC4" s="536">
        <v>1</v>
      </c>
      <c r="AD4" s="536">
        <v>1</v>
      </c>
      <c r="AE4" s="536">
        <v>0</v>
      </c>
      <c r="AF4" s="537">
        <v>0</v>
      </c>
      <c r="AG4" s="536">
        <v>0</v>
      </c>
      <c r="AH4" s="536">
        <v>0</v>
      </c>
      <c r="AI4" s="536">
        <v>0</v>
      </c>
      <c r="AJ4" s="537">
        <v>0</v>
      </c>
      <c r="AK4" s="536">
        <v>0</v>
      </c>
      <c r="AL4" s="536">
        <v>0</v>
      </c>
      <c r="AM4" s="536">
        <v>0</v>
      </c>
      <c r="AN4" s="537">
        <v>0</v>
      </c>
    </row>
    <row r="5" spans="1:40" ht="14.95" customHeight="1" thickBot="1" x14ac:dyDescent="0.3">
      <c r="A5" s="518">
        <v>44619</v>
      </c>
      <c r="B5" s="517" t="s">
        <v>110</v>
      </c>
      <c r="C5" s="517" t="s">
        <v>124</v>
      </c>
      <c r="D5" s="504" t="s">
        <v>227</v>
      </c>
      <c r="E5" s="504" t="s">
        <v>3</v>
      </c>
      <c r="F5" s="504">
        <v>21</v>
      </c>
      <c r="G5" s="504">
        <v>38</v>
      </c>
      <c r="H5" s="504">
        <v>0</v>
      </c>
      <c r="I5" s="504">
        <v>0</v>
      </c>
      <c r="J5" s="504">
        <v>3</v>
      </c>
      <c r="K5" s="504">
        <v>3</v>
      </c>
      <c r="L5" s="504">
        <v>0</v>
      </c>
      <c r="M5" s="504">
        <v>0</v>
      </c>
      <c r="N5" s="504">
        <v>0</v>
      </c>
      <c r="O5" s="504">
        <v>0</v>
      </c>
      <c r="P5" s="504">
        <v>1</v>
      </c>
      <c r="Q5" s="504">
        <v>0</v>
      </c>
      <c r="R5" s="504">
        <v>5</v>
      </c>
      <c r="S5" s="511">
        <v>5000</v>
      </c>
      <c r="T5" s="524" t="s">
        <v>331</v>
      </c>
      <c r="U5" s="513" t="s">
        <v>332</v>
      </c>
      <c r="V5" s="511" t="s">
        <v>333</v>
      </c>
      <c r="W5" s="506" t="s">
        <v>334</v>
      </c>
      <c r="X5" s="514" t="s">
        <v>335</v>
      </c>
      <c r="Y5" s="509">
        <v>1</v>
      </c>
      <c r="Z5" s="509">
        <v>0</v>
      </c>
      <c r="AA5" s="509">
        <v>0</v>
      </c>
      <c r="AB5" s="510">
        <v>1</v>
      </c>
      <c r="AC5" s="509">
        <v>0</v>
      </c>
      <c r="AD5" s="509">
        <v>0</v>
      </c>
      <c r="AE5" s="509">
        <v>0</v>
      </c>
      <c r="AF5" s="510">
        <v>0</v>
      </c>
      <c r="AG5" s="509">
        <v>1</v>
      </c>
      <c r="AH5" s="509">
        <v>0</v>
      </c>
      <c r="AI5" s="509">
        <v>0</v>
      </c>
      <c r="AJ5" s="510">
        <v>1</v>
      </c>
      <c r="AK5" s="509">
        <v>0</v>
      </c>
      <c r="AL5" s="509">
        <v>0</v>
      </c>
      <c r="AM5" s="509">
        <v>0</v>
      </c>
      <c r="AN5" s="510">
        <v>0</v>
      </c>
    </row>
    <row r="6" spans="1:40" ht="14.95" customHeight="1" thickBot="1" x14ac:dyDescent="0.3">
      <c r="A6" s="545">
        <v>44632</v>
      </c>
      <c r="B6" s="546" t="s">
        <v>110</v>
      </c>
      <c r="C6" s="546" t="s">
        <v>38</v>
      </c>
      <c r="D6" s="530" t="s">
        <v>193</v>
      </c>
      <c r="E6" s="530" t="s">
        <v>3</v>
      </c>
      <c r="F6" s="530">
        <v>23</v>
      </c>
      <c r="G6" s="530">
        <v>26</v>
      </c>
      <c r="H6" s="530">
        <v>0</v>
      </c>
      <c r="I6" s="530">
        <v>1</v>
      </c>
      <c r="J6" s="530">
        <v>2</v>
      </c>
      <c r="K6" s="530">
        <v>2</v>
      </c>
      <c r="L6" s="530">
        <v>0</v>
      </c>
      <c r="M6" s="530">
        <v>3</v>
      </c>
      <c r="N6" s="530">
        <v>0</v>
      </c>
      <c r="O6" s="530">
        <v>0</v>
      </c>
      <c r="P6" s="530">
        <v>1</v>
      </c>
      <c r="Q6" s="530">
        <v>0</v>
      </c>
      <c r="R6" s="530">
        <v>4</v>
      </c>
      <c r="S6" s="531">
        <v>6000</v>
      </c>
      <c r="T6" s="532" t="s">
        <v>352</v>
      </c>
      <c r="U6" s="533" t="s">
        <v>353</v>
      </c>
      <c r="V6" s="531" t="s">
        <v>354</v>
      </c>
      <c r="W6" s="534" t="s">
        <v>355</v>
      </c>
      <c r="X6" s="535" t="s">
        <v>356</v>
      </c>
      <c r="Y6" s="536">
        <v>1</v>
      </c>
      <c r="Z6" s="536">
        <v>0</v>
      </c>
      <c r="AA6" s="536">
        <v>0</v>
      </c>
      <c r="AB6" s="537">
        <v>1</v>
      </c>
      <c r="AC6" s="536">
        <v>1</v>
      </c>
      <c r="AD6" s="536">
        <v>0</v>
      </c>
      <c r="AE6" s="536">
        <v>0</v>
      </c>
      <c r="AF6" s="537">
        <v>1</v>
      </c>
      <c r="AG6" s="536">
        <v>0</v>
      </c>
      <c r="AH6" s="536">
        <v>0</v>
      </c>
      <c r="AI6" s="536">
        <v>0</v>
      </c>
      <c r="AJ6" s="537">
        <v>0</v>
      </c>
      <c r="AK6" s="536">
        <v>0</v>
      </c>
      <c r="AL6" s="536">
        <v>0</v>
      </c>
      <c r="AM6" s="536">
        <v>0</v>
      </c>
      <c r="AN6" s="537">
        <v>0</v>
      </c>
    </row>
    <row r="7" spans="1:40" ht="17" thickBot="1" x14ac:dyDescent="0.35">
      <c r="A7" s="518">
        <v>44639</v>
      </c>
      <c r="B7" s="517" t="s">
        <v>110</v>
      </c>
      <c r="C7" s="517" t="s">
        <v>190</v>
      </c>
      <c r="D7" s="647" t="s">
        <v>196</v>
      </c>
      <c r="E7" s="504" t="s">
        <v>1</v>
      </c>
      <c r="F7" s="504">
        <v>38</v>
      </c>
      <c r="G7" s="504">
        <v>12</v>
      </c>
      <c r="H7" s="504">
        <v>1</v>
      </c>
      <c r="I7" s="504">
        <v>0</v>
      </c>
      <c r="J7" s="504">
        <v>6</v>
      </c>
      <c r="K7" s="504">
        <v>3</v>
      </c>
      <c r="L7" s="504">
        <v>0</v>
      </c>
      <c r="M7" s="504">
        <v>0</v>
      </c>
      <c r="N7" s="504">
        <v>0</v>
      </c>
      <c r="O7" s="504">
        <v>0</v>
      </c>
      <c r="P7" s="504">
        <v>0</v>
      </c>
      <c r="Q7" s="504">
        <v>0</v>
      </c>
      <c r="R7" s="504">
        <v>1</v>
      </c>
      <c r="S7" s="526">
        <v>1200</v>
      </c>
      <c r="T7" s="675" t="s">
        <v>373</v>
      </c>
      <c r="U7" s="526" t="s">
        <v>374</v>
      </c>
      <c r="V7" s="526" t="s">
        <v>375</v>
      </c>
      <c r="W7" s="526" t="s">
        <v>376</v>
      </c>
      <c r="X7" s="514" t="s">
        <v>377</v>
      </c>
      <c r="Y7" s="509">
        <v>1</v>
      </c>
      <c r="Z7" s="509">
        <v>1</v>
      </c>
      <c r="AA7" s="509">
        <v>0</v>
      </c>
      <c r="AB7" s="510">
        <v>0</v>
      </c>
      <c r="AC7" s="509">
        <v>1</v>
      </c>
      <c r="AD7" s="509">
        <v>1</v>
      </c>
      <c r="AE7" s="509">
        <v>0</v>
      </c>
      <c r="AF7" s="510">
        <v>0</v>
      </c>
      <c r="AG7" s="509">
        <v>0</v>
      </c>
      <c r="AH7" s="509">
        <v>0</v>
      </c>
      <c r="AI7" s="509">
        <v>0</v>
      </c>
      <c r="AJ7" s="510">
        <v>0</v>
      </c>
      <c r="AK7" s="509">
        <v>0</v>
      </c>
      <c r="AL7" s="509">
        <v>0</v>
      </c>
      <c r="AM7" s="509">
        <v>0</v>
      </c>
      <c r="AN7" s="510">
        <v>0</v>
      </c>
    </row>
    <row r="8" spans="1:40" ht="14.95" thickBot="1" x14ac:dyDescent="0.3">
      <c r="A8" s="550">
        <v>44743</v>
      </c>
      <c r="B8" s="546" t="s">
        <v>45</v>
      </c>
      <c r="C8" s="546" t="s">
        <v>33</v>
      </c>
      <c r="D8" s="557" t="s">
        <v>193</v>
      </c>
      <c r="E8" s="530" t="s">
        <v>3</v>
      </c>
      <c r="F8" s="530">
        <v>13</v>
      </c>
      <c r="G8" s="530">
        <v>45</v>
      </c>
      <c r="H8" s="530" t="s">
        <v>106</v>
      </c>
      <c r="I8" s="530" t="s">
        <v>106</v>
      </c>
      <c r="J8" s="530">
        <v>1</v>
      </c>
      <c r="K8" s="530">
        <v>1</v>
      </c>
      <c r="L8" s="530">
        <v>0</v>
      </c>
      <c r="M8" s="530">
        <v>2</v>
      </c>
      <c r="N8" s="530">
        <v>0</v>
      </c>
      <c r="O8" s="530">
        <v>1</v>
      </c>
      <c r="P8" s="530" t="s">
        <v>106</v>
      </c>
      <c r="Q8" s="530" t="s">
        <v>106</v>
      </c>
      <c r="R8" s="530">
        <v>7</v>
      </c>
      <c r="S8" s="534"/>
      <c r="T8" s="538" t="s">
        <v>498</v>
      </c>
      <c r="U8" s="439" t="s">
        <v>324</v>
      </c>
      <c r="V8" s="439" t="s">
        <v>338</v>
      </c>
      <c r="W8" s="439" t="s">
        <v>340</v>
      </c>
      <c r="X8" s="535" t="s">
        <v>497</v>
      </c>
      <c r="Y8" s="536">
        <v>1</v>
      </c>
      <c r="Z8" s="536">
        <v>0</v>
      </c>
      <c r="AA8" s="536">
        <v>0</v>
      </c>
      <c r="AB8" s="537">
        <v>1</v>
      </c>
      <c r="AC8" s="536">
        <v>1</v>
      </c>
      <c r="AD8" s="536">
        <v>0</v>
      </c>
      <c r="AE8" s="536">
        <v>0</v>
      </c>
      <c r="AF8" s="537">
        <v>1</v>
      </c>
      <c r="AG8" s="536">
        <v>0</v>
      </c>
      <c r="AH8" s="536">
        <v>0</v>
      </c>
      <c r="AI8" s="536">
        <v>0</v>
      </c>
      <c r="AJ8" s="537">
        <v>0</v>
      </c>
      <c r="AK8" s="536">
        <v>0</v>
      </c>
      <c r="AL8" s="536">
        <v>0</v>
      </c>
      <c r="AM8" s="536">
        <v>0</v>
      </c>
      <c r="AN8" s="537">
        <v>0</v>
      </c>
    </row>
    <row r="9" spans="1:40" ht="14.95" customHeight="1" thickBot="1" x14ac:dyDescent="0.35">
      <c r="A9" s="518">
        <v>44752</v>
      </c>
      <c r="B9" s="517" t="s">
        <v>45</v>
      </c>
      <c r="C9" s="517" t="s">
        <v>105</v>
      </c>
      <c r="D9" s="647" t="s">
        <v>581</v>
      </c>
      <c r="E9" s="504" t="s">
        <v>1</v>
      </c>
      <c r="F9" s="504">
        <v>30</v>
      </c>
      <c r="G9" s="504">
        <v>22</v>
      </c>
      <c r="H9" s="504" t="s">
        <v>106</v>
      </c>
      <c r="I9" s="504" t="s">
        <v>106</v>
      </c>
      <c r="J9" s="504">
        <v>3</v>
      </c>
      <c r="K9" s="504">
        <v>3</v>
      </c>
      <c r="L9" s="504">
        <v>0</v>
      </c>
      <c r="M9" s="504">
        <v>3</v>
      </c>
      <c r="N9" s="504">
        <v>1</v>
      </c>
      <c r="O9" s="504">
        <v>1</v>
      </c>
      <c r="P9" s="504" t="s">
        <v>106</v>
      </c>
      <c r="Q9" s="504" t="s">
        <v>106</v>
      </c>
      <c r="R9" s="504">
        <v>3</v>
      </c>
      <c r="S9" s="506"/>
      <c r="T9" s="570" t="s">
        <v>586</v>
      </c>
      <c r="U9" s="506" t="s">
        <v>385</v>
      </c>
      <c r="V9" s="506" t="s">
        <v>525</v>
      </c>
      <c r="W9" s="506" t="s">
        <v>584</v>
      </c>
      <c r="X9" s="506" t="s">
        <v>585</v>
      </c>
      <c r="Y9" s="509">
        <v>1</v>
      </c>
      <c r="Z9" s="509">
        <v>1</v>
      </c>
      <c r="AA9" s="509">
        <v>0</v>
      </c>
      <c r="AB9" s="510">
        <v>0</v>
      </c>
      <c r="AC9" s="509">
        <v>0</v>
      </c>
      <c r="AD9" s="509">
        <v>0</v>
      </c>
      <c r="AE9" s="509">
        <v>0</v>
      </c>
      <c r="AF9" s="510">
        <v>0</v>
      </c>
      <c r="AG9" s="509">
        <v>1</v>
      </c>
      <c r="AH9" s="509">
        <v>1</v>
      </c>
      <c r="AI9" s="509">
        <v>0</v>
      </c>
      <c r="AJ9" s="510">
        <v>0</v>
      </c>
      <c r="AK9" s="509">
        <v>0</v>
      </c>
      <c r="AL9" s="509">
        <v>0</v>
      </c>
      <c r="AM9" s="509">
        <v>0</v>
      </c>
      <c r="AN9" s="510">
        <v>0</v>
      </c>
    </row>
    <row r="10" spans="1:40" ht="14.95" customHeight="1" thickBot="1" x14ac:dyDescent="0.3">
      <c r="A10" s="518">
        <v>44759</v>
      </c>
      <c r="B10" s="517" t="s">
        <v>45</v>
      </c>
      <c r="C10" s="517" t="s">
        <v>105</v>
      </c>
      <c r="D10" s="519" t="s">
        <v>581</v>
      </c>
      <c r="E10" s="504" t="s">
        <v>3</v>
      </c>
      <c r="F10" s="504">
        <v>20</v>
      </c>
      <c r="G10" s="504">
        <v>26</v>
      </c>
      <c r="H10" s="504" t="s">
        <v>106</v>
      </c>
      <c r="I10" s="504" t="s">
        <v>106</v>
      </c>
      <c r="J10" s="504">
        <v>2</v>
      </c>
      <c r="K10" s="504">
        <v>1</v>
      </c>
      <c r="L10" s="504">
        <v>0</v>
      </c>
      <c r="M10" s="504">
        <v>2</v>
      </c>
      <c r="N10" s="504">
        <v>0</v>
      </c>
      <c r="O10" s="504">
        <v>0</v>
      </c>
      <c r="P10" s="504" t="s">
        <v>106</v>
      </c>
      <c r="Q10" s="504" t="s">
        <v>106</v>
      </c>
      <c r="R10" s="504">
        <v>4</v>
      </c>
      <c r="S10" s="506"/>
      <c r="T10" s="520" t="s">
        <v>633</v>
      </c>
      <c r="U10" s="506" t="s">
        <v>314</v>
      </c>
      <c r="V10" s="506" t="s">
        <v>631</v>
      </c>
      <c r="W10" s="506" t="s">
        <v>584</v>
      </c>
      <c r="X10" s="506" t="s">
        <v>632</v>
      </c>
      <c r="Y10" s="509">
        <v>1</v>
      </c>
      <c r="Z10" s="509">
        <v>0</v>
      </c>
      <c r="AA10" s="509">
        <v>0</v>
      </c>
      <c r="AB10" s="510">
        <v>1</v>
      </c>
      <c r="AC10" s="509">
        <v>0</v>
      </c>
      <c r="AD10" s="509">
        <v>0</v>
      </c>
      <c r="AE10" s="509">
        <v>0</v>
      </c>
      <c r="AF10" s="510">
        <v>0</v>
      </c>
      <c r="AG10" s="509">
        <v>1</v>
      </c>
      <c r="AH10" s="509">
        <v>0</v>
      </c>
      <c r="AI10" s="509">
        <v>0</v>
      </c>
      <c r="AJ10" s="510">
        <v>1</v>
      </c>
      <c r="AK10" s="509">
        <v>0</v>
      </c>
      <c r="AL10" s="509">
        <v>0</v>
      </c>
      <c r="AM10" s="509">
        <v>0</v>
      </c>
      <c r="AN10" s="510">
        <v>0</v>
      </c>
    </row>
    <row r="11" spans="1:40" ht="14.95" thickBot="1" x14ac:dyDescent="0.3">
      <c r="A11" s="545">
        <v>44870</v>
      </c>
      <c r="B11" s="553" t="s">
        <v>45</v>
      </c>
      <c r="C11" s="553" t="s">
        <v>544</v>
      </c>
      <c r="D11" s="557" t="s">
        <v>193</v>
      </c>
      <c r="E11" s="530" t="s">
        <v>1</v>
      </c>
      <c r="F11" s="530">
        <v>30</v>
      </c>
      <c r="G11" s="530">
        <v>23</v>
      </c>
      <c r="H11" s="530" t="s">
        <v>106</v>
      </c>
      <c r="I11" s="530" t="s">
        <v>106</v>
      </c>
      <c r="J11" s="530">
        <v>3</v>
      </c>
      <c r="K11" s="530">
        <v>3</v>
      </c>
      <c r="L11" s="530">
        <v>0</v>
      </c>
      <c r="M11" s="530">
        <v>3</v>
      </c>
      <c r="N11" s="530">
        <v>0</v>
      </c>
      <c r="O11" s="530">
        <v>0</v>
      </c>
      <c r="P11" s="530" t="s">
        <v>106</v>
      </c>
      <c r="Q11" s="530" t="s">
        <v>106</v>
      </c>
      <c r="R11" s="530">
        <v>3</v>
      </c>
      <c r="S11" s="439"/>
      <c r="T11" s="633" t="s">
        <v>776</v>
      </c>
      <c r="U11" s="439" t="s">
        <v>332</v>
      </c>
      <c r="V11" s="439" t="s">
        <v>777</v>
      </c>
      <c r="W11" s="439" t="s">
        <v>374</v>
      </c>
      <c r="X11" s="535" t="s">
        <v>778</v>
      </c>
      <c r="Y11" s="536">
        <v>1</v>
      </c>
      <c r="Z11" s="536">
        <v>1</v>
      </c>
      <c r="AA11" s="536">
        <v>0</v>
      </c>
      <c r="AB11" s="537">
        <v>0</v>
      </c>
      <c r="AC11" s="536">
        <v>1</v>
      </c>
      <c r="AD11" s="536">
        <v>1</v>
      </c>
      <c r="AE11" s="536">
        <v>0</v>
      </c>
      <c r="AF11" s="537">
        <v>0</v>
      </c>
      <c r="AG11" s="536">
        <v>0</v>
      </c>
      <c r="AH11" s="536">
        <v>0</v>
      </c>
      <c r="AI11" s="536">
        <v>0</v>
      </c>
      <c r="AJ11" s="537">
        <v>0</v>
      </c>
      <c r="AK11" s="536">
        <v>0</v>
      </c>
      <c r="AL11" s="536">
        <v>0</v>
      </c>
      <c r="AM11" s="536">
        <v>0</v>
      </c>
      <c r="AN11" s="537">
        <v>0</v>
      </c>
    </row>
    <row r="12" spans="1:40" ht="14.95" thickBot="1" x14ac:dyDescent="0.3">
      <c r="A12" s="550">
        <v>44877</v>
      </c>
      <c r="B12" s="551" t="s">
        <v>45</v>
      </c>
      <c r="C12" s="556" t="s">
        <v>105</v>
      </c>
      <c r="D12" s="557" t="s">
        <v>193</v>
      </c>
      <c r="E12" s="530" t="s">
        <v>3</v>
      </c>
      <c r="F12" s="530">
        <v>16</v>
      </c>
      <c r="G12" s="530">
        <v>21</v>
      </c>
      <c r="H12" s="530" t="s">
        <v>106</v>
      </c>
      <c r="I12" s="530" t="s">
        <v>106</v>
      </c>
      <c r="J12" s="530">
        <v>1</v>
      </c>
      <c r="K12" s="530">
        <v>1</v>
      </c>
      <c r="L12" s="530">
        <v>0</v>
      </c>
      <c r="M12" s="530">
        <v>3</v>
      </c>
      <c r="N12" s="530">
        <v>0</v>
      </c>
      <c r="O12" s="530">
        <v>0</v>
      </c>
      <c r="P12" s="530" t="s">
        <v>106</v>
      </c>
      <c r="Q12" s="530" t="s">
        <v>106</v>
      </c>
      <c r="R12" s="530">
        <v>2</v>
      </c>
      <c r="S12" s="439"/>
      <c r="T12" s="719" t="s">
        <v>807</v>
      </c>
      <c r="U12" s="439" t="s">
        <v>314</v>
      </c>
      <c r="V12" s="439" t="s">
        <v>808</v>
      </c>
      <c r="W12" s="439" t="s">
        <v>809</v>
      </c>
      <c r="X12" s="535" t="s">
        <v>810</v>
      </c>
      <c r="Y12" s="536">
        <v>1</v>
      </c>
      <c r="Z12" s="536">
        <v>0</v>
      </c>
      <c r="AA12" s="536">
        <v>0</v>
      </c>
      <c r="AB12" s="537">
        <v>1</v>
      </c>
      <c r="AC12" s="536">
        <v>1</v>
      </c>
      <c r="AD12" s="536">
        <v>0</v>
      </c>
      <c r="AE12" s="536">
        <v>0</v>
      </c>
      <c r="AF12" s="537">
        <v>1</v>
      </c>
      <c r="AG12" s="536">
        <v>0</v>
      </c>
      <c r="AH12" s="536">
        <v>0</v>
      </c>
      <c r="AI12" s="536">
        <v>0</v>
      </c>
      <c r="AJ12" s="537">
        <v>0</v>
      </c>
      <c r="AK12" s="536">
        <v>0</v>
      </c>
      <c r="AL12" s="536">
        <v>0</v>
      </c>
      <c r="AM12" s="536">
        <v>0</v>
      </c>
      <c r="AN12" s="537">
        <v>0</v>
      </c>
    </row>
    <row r="13" spans="1:40" ht="14.95" thickBot="1" x14ac:dyDescent="0.3">
      <c r="A13" s="550">
        <v>44884</v>
      </c>
      <c r="B13" s="551" t="s">
        <v>45</v>
      </c>
      <c r="C13" s="556" t="s">
        <v>120</v>
      </c>
      <c r="D13" s="557" t="s">
        <v>193</v>
      </c>
      <c r="E13" s="530" t="s">
        <v>3</v>
      </c>
      <c r="F13" s="530">
        <v>0</v>
      </c>
      <c r="G13" s="530">
        <v>22</v>
      </c>
      <c r="H13" s="530" t="s">
        <v>106</v>
      </c>
      <c r="I13" s="530" t="s">
        <v>106</v>
      </c>
      <c r="J13" s="530">
        <v>0</v>
      </c>
      <c r="K13" s="530">
        <v>0</v>
      </c>
      <c r="L13" s="530">
        <v>0</v>
      </c>
      <c r="M13" s="530">
        <v>0</v>
      </c>
      <c r="N13" s="530">
        <v>1</v>
      </c>
      <c r="O13" s="530">
        <v>0</v>
      </c>
      <c r="P13" s="530" t="s">
        <v>106</v>
      </c>
      <c r="Q13" s="530" t="s">
        <v>106</v>
      </c>
      <c r="R13" s="530">
        <v>3</v>
      </c>
      <c r="S13" s="439"/>
      <c r="T13" s="633" t="s">
        <v>495</v>
      </c>
      <c r="U13" s="439" t="s">
        <v>340</v>
      </c>
      <c r="V13" s="439" t="s">
        <v>870</v>
      </c>
      <c r="W13" s="439" t="s">
        <v>871</v>
      </c>
      <c r="X13" s="535" t="s">
        <v>621</v>
      </c>
      <c r="Y13" s="536">
        <v>1</v>
      </c>
      <c r="Z13" s="536">
        <v>0</v>
      </c>
      <c r="AA13" s="536">
        <v>0</v>
      </c>
      <c r="AB13" s="537">
        <v>1</v>
      </c>
      <c r="AC13" s="536">
        <v>1</v>
      </c>
      <c r="AD13" s="536">
        <v>0</v>
      </c>
      <c r="AE13" s="536">
        <v>0</v>
      </c>
      <c r="AF13" s="537">
        <v>1</v>
      </c>
      <c r="AG13" s="536">
        <v>0</v>
      </c>
      <c r="AH13" s="536">
        <v>0</v>
      </c>
      <c r="AI13" s="536">
        <v>0</v>
      </c>
      <c r="AJ13" s="537">
        <v>0</v>
      </c>
      <c r="AK13" s="536">
        <v>0</v>
      </c>
      <c r="AL13" s="536">
        <v>0</v>
      </c>
      <c r="AM13" s="536">
        <v>0</v>
      </c>
      <c r="AN13" s="537">
        <v>0</v>
      </c>
    </row>
    <row r="14" spans="1:40" ht="14.95" thickBot="1" x14ac:dyDescent="0.3">
      <c r="A14" s="310"/>
      <c r="B14" s="311"/>
      <c r="C14" s="897" t="s">
        <v>109</v>
      </c>
      <c r="D14" s="807"/>
      <c r="E14" s="808"/>
      <c r="F14" s="309">
        <f>SUM(F3+F4+F5+F6+F7)</f>
        <v>153</v>
      </c>
      <c r="G14" s="309">
        <f t="shared" ref="G14:R14" si="0">SUM(G3+G4+G5+G6+G7)</f>
        <v>128</v>
      </c>
      <c r="H14" s="309">
        <f t="shared" si="0"/>
        <v>3</v>
      </c>
      <c r="I14" s="309">
        <f t="shared" si="0"/>
        <v>1</v>
      </c>
      <c r="J14" s="309">
        <f t="shared" si="0"/>
        <v>19</v>
      </c>
      <c r="K14" s="309">
        <f t="shared" si="0"/>
        <v>16</v>
      </c>
      <c r="L14" s="309">
        <f t="shared" si="0"/>
        <v>0</v>
      </c>
      <c r="M14" s="309">
        <f t="shared" si="0"/>
        <v>8</v>
      </c>
      <c r="N14" s="309">
        <f t="shared" si="0"/>
        <v>2</v>
      </c>
      <c r="O14" s="309">
        <f t="shared" si="0"/>
        <v>0</v>
      </c>
      <c r="P14" s="309">
        <f t="shared" si="0"/>
        <v>3</v>
      </c>
      <c r="Q14" s="309">
        <f t="shared" si="0"/>
        <v>0</v>
      </c>
      <c r="R14" s="309">
        <f t="shared" si="0"/>
        <v>17</v>
      </c>
      <c r="W14" s="306"/>
      <c r="X14" s="452" t="s">
        <v>109</v>
      </c>
      <c r="Y14" s="309">
        <f t="shared" ref="Y14:AN14" si="1">SUM(Y3+Y4+Y5+Y6+Y7)</f>
        <v>5</v>
      </c>
      <c r="Z14" s="309">
        <f t="shared" si="1"/>
        <v>3</v>
      </c>
      <c r="AA14" s="309">
        <f t="shared" si="1"/>
        <v>0</v>
      </c>
      <c r="AB14" s="309">
        <f t="shared" si="1"/>
        <v>2</v>
      </c>
      <c r="AC14" s="307">
        <f t="shared" si="1"/>
        <v>4</v>
      </c>
      <c r="AD14" s="307">
        <f t="shared" si="1"/>
        <v>3</v>
      </c>
      <c r="AE14" s="307">
        <f t="shared" si="1"/>
        <v>0</v>
      </c>
      <c r="AF14" s="307">
        <f t="shared" si="1"/>
        <v>1</v>
      </c>
      <c r="AG14" s="308">
        <f t="shared" si="1"/>
        <v>1</v>
      </c>
      <c r="AH14" s="308">
        <f t="shared" si="1"/>
        <v>0</v>
      </c>
      <c r="AI14" s="308">
        <f t="shared" si="1"/>
        <v>0</v>
      </c>
      <c r="AJ14" s="308">
        <f t="shared" si="1"/>
        <v>1</v>
      </c>
      <c r="AK14" s="309">
        <f t="shared" si="1"/>
        <v>0</v>
      </c>
      <c r="AL14" s="309">
        <f t="shared" si="1"/>
        <v>0</v>
      </c>
      <c r="AM14" s="309">
        <f t="shared" si="1"/>
        <v>0</v>
      </c>
      <c r="AN14" s="309">
        <f t="shared" si="1"/>
        <v>0</v>
      </c>
    </row>
    <row r="15" spans="1:40" ht="14.95" thickBot="1" x14ac:dyDescent="0.3">
      <c r="A15" s="310"/>
      <c r="B15" s="311"/>
      <c r="C15" s="771" t="s">
        <v>173</v>
      </c>
      <c r="D15" s="801"/>
      <c r="E15" s="802"/>
      <c r="F15" s="602">
        <f>SUM(F8:F13)</f>
        <v>109</v>
      </c>
      <c r="G15" s="602">
        <f>SUM(G8:G13)</f>
        <v>159</v>
      </c>
      <c r="H15" s="602" t="s">
        <v>106</v>
      </c>
      <c r="I15" s="602" t="s">
        <v>106</v>
      </c>
      <c r="J15" s="602">
        <f t="shared" ref="J15:O15" si="2">SUM(J8:J13)</f>
        <v>10</v>
      </c>
      <c r="K15" s="602">
        <f t="shared" si="2"/>
        <v>9</v>
      </c>
      <c r="L15" s="602">
        <f t="shared" si="2"/>
        <v>0</v>
      </c>
      <c r="M15" s="602">
        <f t="shared" si="2"/>
        <v>13</v>
      </c>
      <c r="N15" s="602">
        <f t="shared" si="2"/>
        <v>2</v>
      </c>
      <c r="O15" s="602">
        <f t="shared" si="2"/>
        <v>2</v>
      </c>
      <c r="P15" s="602" t="s">
        <v>106</v>
      </c>
      <c r="Q15" s="602" t="s">
        <v>106</v>
      </c>
      <c r="R15" s="602">
        <f>SUM(R8:R13)</f>
        <v>22</v>
      </c>
      <c r="S15" s="618"/>
      <c r="T15" s="618"/>
      <c r="U15" s="618"/>
      <c r="V15" s="618"/>
      <c r="W15" s="600"/>
      <c r="X15" s="609" t="s">
        <v>173</v>
      </c>
      <c r="Y15" s="602">
        <f t="shared" ref="Y15:AN15" si="3">SUM(Y8:Y13)</f>
        <v>6</v>
      </c>
      <c r="Z15" s="602">
        <f t="shared" si="3"/>
        <v>2</v>
      </c>
      <c r="AA15" s="602">
        <f t="shared" si="3"/>
        <v>0</v>
      </c>
      <c r="AB15" s="602">
        <f t="shared" si="3"/>
        <v>4</v>
      </c>
      <c r="AC15" s="603">
        <f t="shared" si="3"/>
        <v>4</v>
      </c>
      <c r="AD15" s="603">
        <f t="shared" si="3"/>
        <v>1</v>
      </c>
      <c r="AE15" s="603">
        <f t="shared" si="3"/>
        <v>0</v>
      </c>
      <c r="AF15" s="603">
        <f t="shared" si="3"/>
        <v>3</v>
      </c>
      <c r="AG15" s="604">
        <f t="shared" si="3"/>
        <v>2</v>
      </c>
      <c r="AH15" s="604">
        <f t="shared" si="3"/>
        <v>1</v>
      </c>
      <c r="AI15" s="604">
        <f t="shared" si="3"/>
        <v>0</v>
      </c>
      <c r="AJ15" s="604">
        <f t="shared" si="3"/>
        <v>1</v>
      </c>
      <c r="AK15" s="602">
        <f t="shared" si="3"/>
        <v>0</v>
      </c>
      <c r="AL15" s="602">
        <f t="shared" si="3"/>
        <v>0</v>
      </c>
      <c r="AM15" s="602">
        <f t="shared" si="3"/>
        <v>0</v>
      </c>
      <c r="AN15" s="602">
        <f t="shared" si="3"/>
        <v>0</v>
      </c>
    </row>
    <row r="16" spans="1:40" ht="14.95" thickBot="1" x14ac:dyDescent="0.3">
      <c r="A16" s="310"/>
      <c r="B16" s="311"/>
      <c r="C16" s="760" t="s">
        <v>107</v>
      </c>
      <c r="D16" s="761"/>
      <c r="E16" s="762"/>
      <c r="F16" s="422">
        <f>SUM(F3:F13)</f>
        <v>262</v>
      </c>
      <c r="G16" s="422">
        <f t="shared" ref="G16:R16" si="4">SUM(G3:G13)</f>
        <v>287</v>
      </c>
      <c r="H16" s="422">
        <f t="shared" si="4"/>
        <v>3</v>
      </c>
      <c r="I16" s="422">
        <f t="shared" si="4"/>
        <v>1</v>
      </c>
      <c r="J16" s="422">
        <f t="shared" si="4"/>
        <v>29</v>
      </c>
      <c r="K16" s="422">
        <f t="shared" si="4"/>
        <v>25</v>
      </c>
      <c r="L16" s="422">
        <f t="shared" si="4"/>
        <v>0</v>
      </c>
      <c r="M16" s="422">
        <f t="shared" si="4"/>
        <v>21</v>
      </c>
      <c r="N16" s="422">
        <f t="shared" si="4"/>
        <v>4</v>
      </c>
      <c r="O16" s="422">
        <f t="shared" si="4"/>
        <v>2</v>
      </c>
      <c r="P16" s="422">
        <f t="shared" si="4"/>
        <v>3</v>
      </c>
      <c r="Q16" s="422">
        <f t="shared" si="4"/>
        <v>0</v>
      </c>
      <c r="R16" s="422">
        <f t="shared" si="4"/>
        <v>39</v>
      </c>
      <c r="S16" s="419"/>
      <c r="T16" s="419"/>
      <c r="U16" s="419"/>
      <c r="V16" s="419"/>
      <c r="W16" s="13"/>
      <c r="X16" s="447" t="s">
        <v>107</v>
      </c>
      <c r="Y16" s="422">
        <f t="shared" ref="Y16:AN16" si="5">SUM(Y3:Y13)</f>
        <v>11</v>
      </c>
      <c r="Z16" s="422">
        <f t="shared" si="5"/>
        <v>5</v>
      </c>
      <c r="AA16" s="422">
        <f t="shared" si="5"/>
        <v>0</v>
      </c>
      <c r="AB16" s="422">
        <f t="shared" si="5"/>
        <v>6</v>
      </c>
      <c r="AC16" s="420">
        <f t="shared" si="5"/>
        <v>8</v>
      </c>
      <c r="AD16" s="420">
        <f t="shared" si="5"/>
        <v>4</v>
      </c>
      <c r="AE16" s="420">
        <f t="shared" si="5"/>
        <v>0</v>
      </c>
      <c r="AF16" s="420">
        <f t="shared" si="5"/>
        <v>4</v>
      </c>
      <c r="AG16" s="421">
        <f t="shared" si="5"/>
        <v>3</v>
      </c>
      <c r="AH16" s="421">
        <f t="shared" si="5"/>
        <v>1</v>
      </c>
      <c r="AI16" s="421">
        <f t="shared" si="5"/>
        <v>0</v>
      </c>
      <c r="AJ16" s="421">
        <f t="shared" si="5"/>
        <v>2</v>
      </c>
      <c r="AK16" s="422">
        <f t="shared" si="5"/>
        <v>0</v>
      </c>
      <c r="AL16" s="422">
        <f t="shared" si="5"/>
        <v>0</v>
      </c>
      <c r="AM16" s="422">
        <f t="shared" si="5"/>
        <v>0</v>
      </c>
      <c r="AN16" s="422">
        <f t="shared" si="5"/>
        <v>0</v>
      </c>
    </row>
    <row r="17" spans="1:40" x14ac:dyDescent="0.25">
      <c r="A17" s="788" t="s">
        <v>218</v>
      </c>
      <c r="B17" s="743"/>
      <c r="C17" s="743"/>
      <c r="D17" s="743"/>
      <c r="E17" s="743"/>
      <c r="F17" s="743"/>
      <c r="G17" s="743"/>
      <c r="H17" s="743"/>
      <c r="I17" s="743"/>
      <c r="J17" s="743"/>
      <c r="K17" s="743"/>
      <c r="L17" s="743"/>
      <c r="M17" s="743"/>
      <c r="N17" s="743"/>
      <c r="O17" s="743"/>
      <c r="P17" s="743"/>
      <c r="Q17" s="743"/>
      <c r="R17" s="743"/>
      <c r="S17" s="743"/>
      <c r="T17" s="743"/>
      <c r="U17" s="743"/>
      <c r="V17" s="743"/>
      <c r="W17" s="743"/>
      <c r="X17" s="743"/>
      <c r="Y17" s="743"/>
      <c r="Z17" s="743"/>
      <c r="AA17" s="743"/>
      <c r="AB17" s="743"/>
      <c r="AC17" s="743"/>
      <c r="AD17" s="743"/>
      <c r="AE17" s="743"/>
      <c r="AF17" s="743"/>
      <c r="AG17" s="743"/>
      <c r="AH17" s="743"/>
      <c r="AI17" s="743"/>
      <c r="AJ17" s="743"/>
      <c r="AK17" s="743"/>
      <c r="AL17" s="743"/>
      <c r="AM17" s="743"/>
      <c r="AN17" s="743"/>
    </row>
    <row r="18" spans="1:40" x14ac:dyDescent="0.25">
      <c r="A18" t="s">
        <v>228</v>
      </c>
      <c r="F18" s="14"/>
      <c r="G18" s="14"/>
      <c r="H18" s="13"/>
      <c r="I18" s="14"/>
      <c r="J18" s="14"/>
      <c r="K18" s="14"/>
      <c r="L18" s="14"/>
      <c r="M18" s="14"/>
      <c r="N18" s="14"/>
      <c r="O18" s="14"/>
      <c r="P18" s="14"/>
      <c r="Q18" s="14"/>
      <c r="R18" s="14"/>
    </row>
    <row r="19" spans="1:40" x14ac:dyDescent="0.25">
      <c r="A19" t="s">
        <v>635</v>
      </c>
      <c r="F19" s="14"/>
      <c r="G19" s="14"/>
      <c r="H19" s="13"/>
      <c r="I19" s="14"/>
      <c r="J19" s="14"/>
      <c r="K19" s="14"/>
      <c r="L19" s="14"/>
      <c r="M19" s="14"/>
      <c r="N19" s="14"/>
      <c r="O19" s="14"/>
      <c r="P19" s="14"/>
      <c r="Q19" s="14"/>
      <c r="R19" s="14"/>
    </row>
    <row r="20" spans="1:40" x14ac:dyDescent="0.25">
      <c r="A20" t="s">
        <v>634</v>
      </c>
      <c r="F20" s="14"/>
      <c r="G20" s="14"/>
      <c r="H20" s="13"/>
      <c r="I20" s="14"/>
      <c r="J20" s="14"/>
      <c r="K20" s="14"/>
      <c r="L20" s="14"/>
      <c r="M20" s="14"/>
      <c r="N20" s="14"/>
      <c r="O20" s="14"/>
      <c r="P20" s="14"/>
      <c r="Q20" s="14"/>
      <c r="R20" s="14"/>
    </row>
    <row r="21" spans="1:40" x14ac:dyDescent="0.25">
      <c r="A21" s="155"/>
      <c r="B21" t="s">
        <v>44</v>
      </c>
    </row>
    <row r="22" spans="1:40" x14ac:dyDescent="0.25">
      <c r="A22" s="153"/>
      <c r="B22" t="s">
        <v>42</v>
      </c>
    </row>
    <row r="23" spans="1:40" x14ac:dyDescent="0.25">
      <c r="A23" s="154"/>
      <c r="B23" t="s">
        <v>43</v>
      </c>
    </row>
    <row r="24" spans="1:40" x14ac:dyDescent="0.25">
      <c r="A24" s="15" t="s">
        <v>28</v>
      </c>
    </row>
  </sheetData>
  <mergeCells count="14">
    <mergeCell ref="A17:AN17"/>
    <mergeCell ref="C14:E14"/>
    <mergeCell ref="C16:E16"/>
    <mergeCell ref="P1:R1"/>
    <mergeCell ref="A1:C1"/>
    <mergeCell ref="E1:G1"/>
    <mergeCell ref="H1:I1"/>
    <mergeCell ref="J1:M1"/>
    <mergeCell ref="N1:O1"/>
    <mergeCell ref="Y1:AB1"/>
    <mergeCell ref="AC1:AF1"/>
    <mergeCell ref="AG1:AJ1"/>
    <mergeCell ref="AK1:AN1"/>
    <mergeCell ref="C15:E15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4A15C-9E16-4CAC-A270-924726D8417E}">
  <dimension ref="A1:AT21"/>
  <sheetViews>
    <sheetView workbookViewId="0">
      <selection activeCell="B2" sqref="B2"/>
    </sheetView>
  </sheetViews>
  <sheetFormatPr defaultRowHeight="14.3" x14ac:dyDescent="0.25"/>
  <cols>
    <col min="1" max="1" width="7.5" customWidth="1"/>
    <col min="2" max="2" width="4.5" bestFit="1" customWidth="1"/>
    <col min="3" max="3" width="12.625" customWidth="1"/>
    <col min="4" max="4" width="4.875" customWidth="1"/>
    <col min="5" max="18" width="3.625" customWidth="1"/>
    <col min="19" max="20" width="6.375" customWidth="1"/>
    <col min="21" max="21" width="23" bestFit="1" customWidth="1"/>
    <col min="22" max="22" width="22.125" customWidth="1"/>
    <col min="23" max="23" width="25.875" bestFit="1" customWidth="1"/>
    <col min="24" max="24" width="24.375" bestFit="1" customWidth="1"/>
    <col min="25" max="40" width="3.625" customWidth="1"/>
    <col min="41" max="41" width="5.625" customWidth="1"/>
    <col min="42" max="42" width="13.125" bestFit="1" customWidth="1"/>
    <col min="45" max="45" width="13.125" bestFit="1" customWidth="1"/>
  </cols>
  <sheetData>
    <row r="1" spans="1:46" ht="14.95" thickBot="1" x14ac:dyDescent="0.3">
      <c r="A1" s="911" t="s">
        <v>210</v>
      </c>
      <c r="B1" s="912"/>
      <c r="C1" s="912"/>
      <c r="D1" s="346"/>
      <c r="E1" s="913" t="s">
        <v>24</v>
      </c>
      <c r="F1" s="914"/>
      <c r="G1" s="915"/>
      <c r="H1" s="913" t="s">
        <v>23</v>
      </c>
      <c r="I1" s="915"/>
      <c r="J1" s="908" t="s">
        <v>6</v>
      </c>
      <c r="K1" s="909"/>
      <c r="L1" s="909"/>
      <c r="M1" s="910"/>
      <c r="N1" s="908" t="s">
        <v>7</v>
      </c>
      <c r="O1" s="910"/>
      <c r="P1" s="908" t="s">
        <v>25</v>
      </c>
      <c r="Q1" s="909"/>
      <c r="R1" s="910"/>
      <c r="S1" s="444" t="s">
        <v>8</v>
      </c>
      <c r="T1" s="444" t="s">
        <v>9</v>
      </c>
      <c r="U1" s="348" t="s">
        <v>10</v>
      </c>
      <c r="V1" s="347" t="s">
        <v>11</v>
      </c>
      <c r="W1" s="349" t="s">
        <v>26</v>
      </c>
      <c r="X1" s="350" t="s">
        <v>27</v>
      </c>
      <c r="Y1" s="907" t="s">
        <v>20</v>
      </c>
      <c r="Z1" s="753"/>
      <c r="AA1" s="753"/>
      <c r="AB1" s="754"/>
      <c r="AC1" s="907" t="s">
        <v>61</v>
      </c>
      <c r="AD1" s="753"/>
      <c r="AE1" s="753"/>
      <c r="AF1" s="754"/>
      <c r="AG1" s="907" t="s">
        <v>62</v>
      </c>
      <c r="AH1" s="753"/>
      <c r="AI1" s="753"/>
      <c r="AJ1" s="754"/>
      <c r="AK1" s="907" t="s">
        <v>63</v>
      </c>
      <c r="AL1" s="753"/>
      <c r="AM1" s="753"/>
      <c r="AN1" s="754"/>
      <c r="AP1" s="351" t="s">
        <v>154</v>
      </c>
      <c r="AQ1" s="397"/>
      <c r="AR1" s="397"/>
      <c r="AS1" s="351" t="s">
        <v>154</v>
      </c>
    </row>
    <row r="2" spans="1:46" ht="14.95" customHeight="1" thickBot="1" x14ac:dyDescent="0.3">
      <c r="A2" s="352" t="s">
        <v>19</v>
      </c>
      <c r="B2" s="353" t="s">
        <v>18</v>
      </c>
      <c r="C2" s="354" t="s">
        <v>17</v>
      </c>
      <c r="D2" s="355" t="s">
        <v>41</v>
      </c>
      <c r="E2" s="355" t="s">
        <v>16</v>
      </c>
      <c r="F2" s="355" t="s">
        <v>4</v>
      </c>
      <c r="G2" s="355" t="s">
        <v>5</v>
      </c>
      <c r="H2" s="356" t="s">
        <v>12</v>
      </c>
      <c r="I2" s="356" t="s">
        <v>3</v>
      </c>
      <c r="J2" s="356" t="s">
        <v>12</v>
      </c>
      <c r="K2" s="356" t="s">
        <v>13</v>
      </c>
      <c r="L2" s="356" t="s">
        <v>2</v>
      </c>
      <c r="M2" s="356" t="s">
        <v>14</v>
      </c>
      <c r="N2" s="356" t="s">
        <v>15</v>
      </c>
      <c r="O2" s="356" t="s">
        <v>16</v>
      </c>
      <c r="P2" s="356" t="s">
        <v>21</v>
      </c>
      <c r="Q2" s="356" t="s">
        <v>22</v>
      </c>
      <c r="R2" s="356" t="s">
        <v>12</v>
      </c>
      <c r="S2" s="357"/>
      <c r="T2" s="358"/>
      <c r="U2" s="359"/>
      <c r="V2" s="357"/>
      <c r="W2" s="359"/>
      <c r="X2" s="360"/>
      <c r="Y2" s="434" t="s">
        <v>0</v>
      </c>
      <c r="Z2" s="434" t="s">
        <v>1</v>
      </c>
      <c r="AA2" s="434" t="s">
        <v>2</v>
      </c>
      <c r="AB2" s="434" t="s">
        <v>3</v>
      </c>
      <c r="AC2" s="434" t="s">
        <v>0</v>
      </c>
      <c r="AD2" s="434" t="s">
        <v>1</v>
      </c>
      <c r="AE2" s="434" t="s">
        <v>2</v>
      </c>
      <c r="AF2" s="434" t="s">
        <v>3</v>
      </c>
      <c r="AG2" s="434" t="s">
        <v>0</v>
      </c>
      <c r="AH2" s="434" t="s">
        <v>1</v>
      </c>
      <c r="AI2" s="434" t="s">
        <v>2</v>
      </c>
      <c r="AJ2" s="434" t="s">
        <v>3</v>
      </c>
      <c r="AK2" s="434" t="s">
        <v>0</v>
      </c>
      <c r="AL2" s="434" t="s">
        <v>1</v>
      </c>
      <c r="AM2" s="434" t="s">
        <v>2</v>
      </c>
      <c r="AN2" s="434" t="s">
        <v>3</v>
      </c>
      <c r="AP2" s="367" t="s">
        <v>107</v>
      </c>
      <c r="AQ2" s="204"/>
      <c r="AS2" s="368" t="s">
        <v>130</v>
      </c>
      <c r="AT2" s="204"/>
    </row>
    <row r="3" spans="1:46" ht="14.95" customHeight="1" thickBot="1" x14ac:dyDescent="0.3">
      <c r="A3" s="518">
        <v>44597</v>
      </c>
      <c r="B3" s="503" t="s">
        <v>110</v>
      </c>
      <c r="C3" s="503" t="s">
        <v>123</v>
      </c>
      <c r="D3" s="504" t="s">
        <v>193</v>
      </c>
      <c r="E3" s="504" t="s">
        <v>3</v>
      </c>
      <c r="F3" s="504">
        <v>25</v>
      </c>
      <c r="G3" s="504">
        <v>34</v>
      </c>
      <c r="H3" s="504">
        <v>0</v>
      </c>
      <c r="I3" s="504">
        <v>0</v>
      </c>
      <c r="J3" s="504">
        <v>3</v>
      </c>
      <c r="K3" s="504">
        <v>1</v>
      </c>
      <c r="L3" s="504">
        <v>0</v>
      </c>
      <c r="M3" s="504">
        <v>2</v>
      </c>
      <c r="N3" s="504">
        <v>3</v>
      </c>
      <c r="O3" s="504">
        <v>0</v>
      </c>
      <c r="P3" s="504">
        <v>1</v>
      </c>
      <c r="Q3" s="504">
        <v>0</v>
      </c>
      <c r="R3" s="504">
        <v>4</v>
      </c>
      <c r="S3" s="511">
        <v>2700</v>
      </c>
      <c r="T3" s="515" t="s">
        <v>250</v>
      </c>
      <c r="U3" s="513" t="s">
        <v>246</v>
      </c>
      <c r="V3" s="511" t="s">
        <v>247</v>
      </c>
      <c r="W3" s="506" t="s">
        <v>248</v>
      </c>
      <c r="X3" s="514" t="s">
        <v>249</v>
      </c>
      <c r="Y3" s="509">
        <v>1</v>
      </c>
      <c r="Z3" s="509">
        <v>0</v>
      </c>
      <c r="AA3" s="509">
        <v>0</v>
      </c>
      <c r="AB3" s="510">
        <v>1</v>
      </c>
      <c r="AC3" s="509">
        <v>0</v>
      </c>
      <c r="AD3" s="509">
        <v>0</v>
      </c>
      <c r="AE3" s="509">
        <v>0</v>
      </c>
      <c r="AF3" s="510">
        <v>0</v>
      </c>
      <c r="AG3" s="509">
        <v>1</v>
      </c>
      <c r="AH3" s="509">
        <v>0</v>
      </c>
      <c r="AI3" s="509">
        <v>0</v>
      </c>
      <c r="AJ3" s="510">
        <v>1</v>
      </c>
      <c r="AK3" s="509">
        <v>0</v>
      </c>
      <c r="AL3" s="509">
        <v>0</v>
      </c>
      <c r="AM3" s="509">
        <v>0</v>
      </c>
      <c r="AN3" s="510">
        <v>0</v>
      </c>
      <c r="AP3" s="386" t="s">
        <v>132</v>
      </c>
      <c r="AQ3" s="387">
        <f>Russiaalltestshistplayed</f>
        <v>231</v>
      </c>
      <c r="AS3" s="386" t="s">
        <v>132</v>
      </c>
      <c r="AT3" s="387">
        <f>RussiaRWChistplayed</f>
        <v>8</v>
      </c>
    </row>
    <row r="4" spans="1:46" ht="14.95" thickBot="1" x14ac:dyDescent="0.3">
      <c r="A4" s="528">
        <v>44604</v>
      </c>
      <c r="B4" s="529" t="s">
        <v>110</v>
      </c>
      <c r="C4" s="529" t="s">
        <v>124</v>
      </c>
      <c r="D4" s="530" t="s">
        <v>195</v>
      </c>
      <c r="E4" s="530" t="s">
        <v>3</v>
      </c>
      <c r="F4" s="530">
        <v>37</v>
      </c>
      <c r="G4" s="530">
        <v>41</v>
      </c>
      <c r="H4" s="530">
        <v>1</v>
      </c>
      <c r="I4" s="530">
        <v>1</v>
      </c>
      <c r="J4" s="530">
        <v>4</v>
      </c>
      <c r="K4" s="530">
        <v>4</v>
      </c>
      <c r="L4" s="530">
        <v>0</v>
      </c>
      <c r="M4" s="530">
        <v>3</v>
      </c>
      <c r="N4" s="530">
        <v>2</v>
      </c>
      <c r="O4" s="530">
        <v>0</v>
      </c>
      <c r="P4" s="530">
        <v>1</v>
      </c>
      <c r="Q4" s="530">
        <v>0</v>
      </c>
      <c r="R4" s="530">
        <v>5</v>
      </c>
      <c r="S4" s="531">
        <v>0</v>
      </c>
      <c r="T4" s="544" t="s">
        <v>288</v>
      </c>
      <c r="U4" s="533" t="s">
        <v>289</v>
      </c>
      <c r="V4" s="531" t="s">
        <v>290</v>
      </c>
      <c r="W4" s="534" t="s">
        <v>291</v>
      </c>
      <c r="X4" s="535" t="s">
        <v>292</v>
      </c>
      <c r="Y4" s="536">
        <v>1</v>
      </c>
      <c r="Z4" s="536">
        <v>0</v>
      </c>
      <c r="AA4" s="536">
        <v>0</v>
      </c>
      <c r="AB4" s="537">
        <v>1</v>
      </c>
      <c r="AC4" s="536">
        <v>1</v>
      </c>
      <c r="AD4" s="536">
        <v>0</v>
      </c>
      <c r="AE4" s="536">
        <v>0</v>
      </c>
      <c r="AF4" s="537">
        <v>1</v>
      </c>
      <c r="AG4" s="536">
        <v>0</v>
      </c>
      <c r="AH4" s="536">
        <v>0</v>
      </c>
      <c r="AI4" s="536">
        <v>0</v>
      </c>
      <c r="AJ4" s="537">
        <v>0</v>
      </c>
      <c r="AK4" s="536">
        <v>0</v>
      </c>
      <c r="AL4" s="536">
        <v>0</v>
      </c>
      <c r="AM4" s="536">
        <v>0</v>
      </c>
      <c r="AN4" s="537">
        <v>0</v>
      </c>
      <c r="AP4" s="388" t="s">
        <v>133</v>
      </c>
      <c r="AQ4" s="389">
        <f>Russiaalltestshistwon</f>
        <v>112</v>
      </c>
      <c r="AS4" s="388" t="s">
        <v>133</v>
      </c>
      <c r="AT4" s="389">
        <f>RussiaRWChistwon</f>
        <v>0</v>
      </c>
    </row>
    <row r="5" spans="1:46" ht="14.95" thickBot="1" x14ac:dyDescent="0.3">
      <c r="A5" s="501">
        <v>44619</v>
      </c>
      <c r="B5" s="503" t="s">
        <v>110</v>
      </c>
      <c r="C5" s="503" t="s">
        <v>38</v>
      </c>
      <c r="D5" s="504" t="s">
        <v>171</v>
      </c>
      <c r="E5" s="504" t="s">
        <v>13</v>
      </c>
      <c r="F5" s="504"/>
      <c r="G5" s="504"/>
      <c r="H5" s="504"/>
      <c r="I5" s="504"/>
      <c r="J5" s="504"/>
      <c r="K5" s="504"/>
      <c r="L5" s="504"/>
      <c r="M5" s="504"/>
      <c r="N5" s="504"/>
      <c r="O5" s="504"/>
      <c r="P5" s="504"/>
      <c r="Q5" s="504"/>
      <c r="R5" s="504"/>
      <c r="S5" s="511"/>
      <c r="T5" s="515"/>
      <c r="U5" s="513" t="s">
        <v>336</v>
      </c>
      <c r="V5" s="511"/>
      <c r="W5" s="506"/>
      <c r="X5" s="514"/>
      <c r="Y5" s="509"/>
      <c r="Z5" s="509"/>
      <c r="AA5" s="509"/>
      <c r="AB5" s="510"/>
      <c r="AC5" s="509"/>
      <c r="AD5" s="509"/>
      <c r="AE5" s="509"/>
      <c r="AF5" s="510"/>
      <c r="AG5" s="509"/>
      <c r="AH5" s="509"/>
      <c r="AI5" s="509"/>
      <c r="AJ5" s="510"/>
      <c r="AK5" s="509"/>
      <c r="AL5" s="509"/>
      <c r="AM5" s="509"/>
      <c r="AN5" s="510"/>
      <c r="AP5" s="388" t="s">
        <v>139</v>
      </c>
      <c r="AQ5" s="389">
        <f>Russiaalltestshistdrawn</f>
        <v>3</v>
      </c>
      <c r="AS5" s="388" t="s">
        <v>139</v>
      </c>
      <c r="AT5" s="389">
        <f>RussiaRWChistdrawn</f>
        <v>0</v>
      </c>
    </row>
    <row r="6" spans="1:46" ht="14.95" thickBot="1" x14ac:dyDescent="0.3">
      <c r="A6" s="528">
        <v>44632</v>
      </c>
      <c r="B6" s="529" t="s">
        <v>110</v>
      </c>
      <c r="C6" s="529" t="s">
        <v>190</v>
      </c>
      <c r="D6" s="530" t="s">
        <v>230</v>
      </c>
      <c r="E6" s="530" t="s">
        <v>13</v>
      </c>
      <c r="F6" s="530"/>
      <c r="G6" s="530"/>
      <c r="H6" s="530"/>
      <c r="I6" s="530"/>
      <c r="J6" s="530"/>
      <c r="K6" s="530"/>
      <c r="L6" s="530"/>
      <c r="M6" s="530"/>
      <c r="N6" s="530"/>
      <c r="O6" s="530"/>
      <c r="P6" s="530"/>
      <c r="Q6" s="530"/>
      <c r="R6" s="530"/>
      <c r="S6" s="531"/>
      <c r="T6" s="532"/>
      <c r="U6" s="533" t="s">
        <v>336</v>
      </c>
      <c r="V6" s="531"/>
      <c r="W6" s="534"/>
      <c r="X6" s="535"/>
      <c r="Y6" s="536"/>
      <c r="Z6" s="536"/>
      <c r="AA6" s="536"/>
      <c r="AB6" s="537"/>
      <c r="AC6" s="536"/>
      <c r="AD6" s="536"/>
      <c r="AE6" s="536"/>
      <c r="AF6" s="537"/>
      <c r="AG6" s="536"/>
      <c r="AH6" s="536"/>
      <c r="AI6" s="536"/>
      <c r="AJ6" s="537"/>
      <c r="AK6" s="536"/>
      <c r="AL6" s="536"/>
      <c r="AM6" s="536"/>
      <c r="AN6" s="537"/>
      <c r="AP6" s="388" t="s">
        <v>134</v>
      </c>
      <c r="AQ6" s="389">
        <f>Russiaalltestshistlost</f>
        <v>116</v>
      </c>
      <c r="AS6" s="388" t="s">
        <v>134</v>
      </c>
      <c r="AT6" s="389">
        <f>RussiaRWChistlost</f>
        <v>8</v>
      </c>
    </row>
    <row r="7" spans="1:46" ht="14.95" customHeight="1" thickBot="1" x14ac:dyDescent="0.35">
      <c r="A7" s="518">
        <v>44639</v>
      </c>
      <c r="B7" s="517" t="s">
        <v>110</v>
      </c>
      <c r="C7" s="517" t="s">
        <v>125</v>
      </c>
      <c r="D7" s="519" t="s">
        <v>189</v>
      </c>
      <c r="E7" s="519" t="s">
        <v>13</v>
      </c>
      <c r="F7" s="504"/>
      <c r="G7" s="504"/>
      <c r="H7" s="504"/>
      <c r="I7" s="504"/>
      <c r="J7" s="504"/>
      <c r="K7" s="504"/>
      <c r="L7" s="504"/>
      <c r="M7" s="504"/>
      <c r="N7" s="504"/>
      <c r="O7" s="504"/>
      <c r="P7" s="504"/>
      <c r="Q7" s="504"/>
      <c r="R7" s="504"/>
      <c r="S7" s="506"/>
      <c r="T7" s="570"/>
      <c r="U7" s="506" t="s">
        <v>336</v>
      </c>
      <c r="V7" s="506"/>
      <c r="W7" s="506"/>
      <c r="X7" s="506"/>
      <c r="Y7" s="509"/>
      <c r="Z7" s="509"/>
      <c r="AA7" s="509"/>
      <c r="AB7" s="510"/>
      <c r="AC7" s="509"/>
      <c r="AD7" s="509"/>
      <c r="AE7" s="509"/>
      <c r="AF7" s="510"/>
      <c r="AG7" s="509"/>
      <c r="AH7" s="509"/>
      <c r="AI7" s="509"/>
      <c r="AJ7" s="510"/>
      <c r="AK7" s="509"/>
      <c r="AL7" s="509"/>
      <c r="AM7" s="509"/>
      <c r="AN7" s="510"/>
      <c r="AP7" s="388" t="s">
        <v>140</v>
      </c>
      <c r="AQ7" s="389">
        <f>Russiaalltestshistptsscored</f>
        <v>5819</v>
      </c>
      <c r="AS7" s="388" t="s">
        <v>140</v>
      </c>
      <c r="AT7" s="389">
        <f>RussiaRWChistptsscored</f>
        <v>76</v>
      </c>
    </row>
    <row r="8" spans="1:46" ht="14.95" customHeight="1" thickBot="1" x14ac:dyDescent="0.3">
      <c r="A8" s="310"/>
      <c r="B8" s="311"/>
      <c r="C8" s="806" t="s">
        <v>191</v>
      </c>
      <c r="D8" s="807"/>
      <c r="E8" s="808"/>
      <c r="F8" s="309">
        <f t="shared" ref="F8:R8" si="0">F3</f>
        <v>25</v>
      </c>
      <c r="G8" s="309">
        <f t="shared" si="0"/>
        <v>34</v>
      </c>
      <c r="H8" s="309">
        <f t="shared" si="0"/>
        <v>0</v>
      </c>
      <c r="I8" s="309">
        <f t="shared" si="0"/>
        <v>0</v>
      </c>
      <c r="J8" s="309">
        <f t="shared" si="0"/>
        <v>3</v>
      </c>
      <c r="K8" s="309">
        <f t="shared" si="0"/>
        <v>1</v>
      </c>
      <c r="L8" s="309">
        <f t="shared" si="0"/>
        <v>0</v>
      </c>
      <c r="M8" s="309">
        <f t="shared" si="0"/>
        <v>2</v>
      </c>
      <c r="N8" s="309">
        <f t="shared" si="0"/>
        <v>3</v>
      </c>
      <c r="O8" s="309">
        <f t="shared" si="0"/>
        <v>0</v>
      </c>
      <c r="P8" s="309">
        <f t="shared" si="0"/>
        <v>1</v>
      </c>
      <c r="Q8" s="309">
        <f t="shared" si="0"/>
        <v>0</v>
      </c>
      <c r="R8" s="309">
        <f t="shared" si="0"/>
        <v>4</v>
      </c>
      <c r="W8" s="306"/>
      <c r="X8" s="452" t="s">
        <v>191</v>
      </c>
      <c r="Y8" s="309">
        <f t="shared" ref="Y8:AN8" si="1">Y3</f>
        <v>1</v>
      </c>
      <c r="Z8" s="309">
        <f t="shared" si="1"/>
        <v>0</v>
      </c>
      <c r="AA8" s="309">
        <f t="shared" si="1"/>
        <v>0</v>
      </c>
      <c r="AB8" s="309">
        <f t="shared" si="1"/>
        <v>1</v>
      </c>
      <c r="AC8" s="307">
        <f t="shared" si="1"/>
        <v>0</v>
      </c>
      <c r="AD8" s="307">
        <f t="shared" si="1"/>
        <v>0</v>
      </c>
      <c r="AE8" s="307">
        <f t="shared" si="1"/>
        <v>0</v>
      </c>
      <c r="AF8" s="307">
        <f t="shared" si="1"/>
        <v>0</v>
      </c>
      <c r="AG8" s="308">
        <f t="shared" si="1"/>
        <v>1</v>
      </c>
      <c r="AH8" s="308">
        <f t="shared" si="1"/>
        <v>0</v>
      </c>
      <c r="AI8" s="308">
        <f t="shared" si="1"/>
        <v>0</v>
      </c>
      <c r="AJ8" s="308">
        <f t="shared" si="1"/>
        <v>1</v>
      </c>
      <c r="AK8" s="309">
        <f t="shared" si="1"/>
        <v>0</v>
      </c>
      <c r="AL8" s="309">
        <f t="shared" si="1"/>
        <v>0</v>
      </c>
      <c r="AM8" s="309">
        <f t="shared" si="1"/>
        <v>0</v>
      </c>
      <c r="AN8" s="309">
        <f t="shared" si="1"/>
        <v>0</v>
      </c>
      <c r="AP8" s="388" t="s">
        <v>141</v>
      </c>
      <c r="AQ8" s="389">
        <f>Russiaalltestshistptsagainst</f>
        <v>5654</v>
      </c>
      <c r="AS8" s="388" t="s">
        <v>141</v>
      </c>
      <c r="AT8" s="389">
        <f>RussiaRWChistptscon</f>
        <v>356</v>
      </c>
    </row>
    <row r="9" spans="1:46" ht="14.95" customHeight="1" thickBot="1" x14ac:dyDescent="0.3">
      <c r="A9" s="310"/>
      <c r="B9" s="311"/>
      <c r="C9" s="806" t="s">
        <v>192</v>
      </c>
      <c r="D9" s="807"/>
      <c r="E9" s="808"/>
      <c r="F9" s="581">
        <f t="shared" ref="F9:R9" si="2">SUM(F4:F7)</f>
        <v>37</v>
      </c>
      <c r="G9" s="581">
        <f t="shared" si="2"/>
        <v>41</v>
      </c>
      <c r="H9" s="581">
        <f t="shared" si="2"/>
        <v>1</v>
      </c>
      <c r="I9" s="581">
        <f t="shared" si="2"/>
        <v>1</v>
      </c>
      <c r="J9" s="581">
        <f t="shared" si="2"/>
        <v>4</v>
      </c>
      <c r="K9" s="581">
        <f t="shared" si="2"/>
        <v>4</v>
      </c>
      <c r="L9" s="581">
        <f t="shared" si="2"/>
        <v>0</v>
      </c>
      <c r="M9" s="581">
        <f t="shared" si="2"/>
        <v>3</v>
      </c>
      <c r="N9" s="581">
        <f t="shared" si="2"/>
        <v>2</v>
      </c>
      <c r="O9" s="581">
        <f t="shared" si="2"/>
        <v>0</v>
      </c>
      <c r="P9" s="581">
        <f t="shared" si="2"/>
        <v>1</v>
      </c>
      <c r="Q9" s="581">
        <f t="shared" si="2"/>
        <v>0</v>
      </c>
      <c r="R9" s="581">
        <f t="shared" si="2"/>
        <v>5</v>
      </c>
      <c r="W9" s="306"/>
      <c r="X9" s="452" t="s">
        <v>192</v>
      </c>
      <c r="Y9" s="581">
        <f t="shared" ref="Y9:AN9" si="3">SUM(Y4:Y7)</f>
        <v>1</v>
      </c>
      <c r="Z9" s="581">
        <f t="shared" si="3"/>
        <v>0</v>
      </c>
      <c r="AA9" s="581">
        <f t="shared" si="3"/>
        <v>0</v>
      </c>
      <c r="AB9" s="581">
        <f t="shared" si="3"/>
        <v>1</v>
      </c>
      <c r="AC9" s="605">
        <f t="shared" si="3"/>
        <v>1</v>
      </c>
      <c r="AD9" s="605">
        <f t="shared" si="3"/>
        <v>0</v>
      </c>
      <c r="AE9" s="605">
        <f t="shared" si="3"/>
        <v>0</v>
      </c>
      <c r="AF9" s="605">
        <f t="shared" si="3"/>
        <v>1</v>
      </c>
      <c r="AG9" s="606">
        <f t="shared" si="3"/>
        <v>0</v>
      </c>
      <c r="AH9" s="606">
        <f t="shared" si="3"/>
        <v>0</v>
      </c>
      <c r="AI9" s="606">
        <f t="shared" si="3"/>
        <v>0</v>
      </c>
      <c r="AJ9" s="606">
        <f t="shared" si="3"/>
        <v>0</v>
      </c>
      <c r="AK9" s="581">
        <f t="shared" si="3"/>
        <v>0</v>
      </c>
      <c r="AL9" s="581">
        <f t="shared" si="3"/>
        <v>0</v>
      </c>
      <c r="AM9" s="581">
        <f t="shared" si="3"/>
        <v>0</v>
      </c>
      <c r="AN9" s="581">
        <f t="shared" si="3"/>
        <v>0</v>
      </c>
      <c r="AP9" s="388" t="s">
        <v>131</v>
      </c>
      <c r="AQ9" s="389">
        <f>Russiaalltestshisttriesscored</f>
        <v>599</v>
      </c>
      <c r="AS9" s="388" t="s">
        <v>131</v>
      </c>
      <c r="AT9" s="389">
        <f>RussiaRWChisttriesscored</f>
        <v>9</v>
      </c>
    </row>
    <row r="10" spans="1:46" ht="14.95" thickBot="1" x14ac:dyDescent="0.3">
      <c r="A10" s="310"/>
      <c r="B10" s="311"/>
      <c r="C10" s="760" t="s">
        <v>107</v>
      </c>
      <c r="D10" s="761"/>
      <c r="E10" s="762"/>
      <c r="F10" s="422">
        <f t="shared" ref="F10:R10" si="4">SUM(F3:F7)</f>
        <v>62</v>
      </c>
      <c r="G10" s="422">
        <f t="shared" si="4"/>
        <v>75</v>
      </c>
      <c r="H10" s="422">
        <f t="shared" si="4"/>
        <v>1</v>
      </c>
      <c r="I10" s="422">
        <f t="shared" si="4"/>
        <v>1</v>
      </c>
      <c r="J10" s="422">
        <f t="shared" si="4"/>
        <v>7</v>
      </c>
      <c r="K10" s="422">
        <f t="shared" si="4"/>
        <v>5</v>
      </c>
      <c r="L10" s="422">
        <f t="shared" si="4"/>
        <v>0</v>
      </c>
      <c r="M10" s="422">
        <f t="shared" si="4"/>
        <v>5</v>
      </c>
      <c r="N10" s="422">
        <f t="shared" si="4"/>
        <v>5</v>
      </c>
      <c r="O10" s="422">
        <f t="shared" si="4"/>
        <v>0</v>
      </c>
      <c r="P10" s="422">
        <f t="shared" si="4"/>
        <v>2</v>
      </c>
      <c r="Q10" s="422">
        <f t="shared" si="4"/>
        <v>0</v>
      </c>
      <c r="R10" s="422">
        <f t="shared" si="4"/>
        <v>9</v>
      </c>
      <c r="S10" s="419"/>
      <c r="T10" s="419"/>
      <c r="U10" s="419"/>
      <c r="V10" s="419"/>
      <c r="W10" s="13"/>
      <c r="X10" s="447" t="s">
        <v>107</v>
      </c>
      <c r="Y10" s="422">
        <f t="shared" ref="Y10:AN10" si="5">SUM(Y3:Y7)</f>
        <v>2</v>
      </c>
      <c r="Z10" s="422">
        <f t="shared" si="5"/>
        <v>0</v>
      </c>
      <c r="AA10" s="422">
        <f t="shared" si="5"/>
        <v>0</v>
      </c>
      <c r="AB10" s="422">
        <f t="shared" si="5"/>
        <v>2</v>
      </c>
      <c r="AC10" s="420">
        <f t="shared" si="5"/>
        <v>1</v>
      </c>
      <c r="AD10" s="420">
        <f t="shared" si="5"/>
        <v>0</v>
      </c>
      <c r="AE10" s="420">
        <f t="shared" si="5"/>
        <v>0</v>
      </c>
      <c r="AF10" s="420">
        <f t="shared" si="5"/>
        <v>1</v>
      </c>
      <c r="AG10" s="421">
        <f t="shared" si="5"/>
        <v>1</v>
      </c>
      <c r="AH10" s="421">
        <f t="shared" si="5"/>
        <v>0</v>
      </c>
      <c r="AI10" s="421">
        <f t="shared" si="5"/>
        <v>0</v>
      </c>
      <c r="AJ10" s="421">
        <f t="shared" si="5"/>
        <v>1</v>
      </c>
      <c r="AK10" s="422">
        <f t="shared" si="5"/>
        <v>0</v>
      </c>
      <c r="AL10" s="422">
        <f t="shared" si="5"/>
        <v>0</v>
      </c>
      <c r="AM10" s="422">
        <f t="shared" si="5"/>
        <v>0</v>
      </c>
      <c r="AN10" s="422">
        <f t="shared" si="5"/>
        <v>0</v>
      </c>
    </row>
    <row r="11" spans="1:46" x14ac:dyDescent="0.25">
      <c r="A11" s="788" t="s">
        <v>218</v>
      </c>
      <c r="B11" s="743"/>
      <c r="C11" s="743"/>
      <c r="D11" s="743"/>
      <c r="E11" s="743"/>
      <c r="F11" s="743"/>
      <c r="G11" s="743"/>
      <c r="H11" s="743"/>
      <c r="I11" s="743"/>
      <c r="J11" s="743"/>
      <c r="K11" s="743"/>
      <c r="L11" s="743"/>
      <c r="M11" s="743"/>
      <c r="N11" s="743"/>
      <c r="O11" s="743"/>
      <c r="P11" s="743"/>
      <c r="Q11" s="743"/>
      <c r="R11" s="743"/>
      <c r="S11" s="743"/>
      <c r="T11" s="743"/>
      <c r="U11" s="743"/>
      <c r="V11" s="743"/>
      <c r="W11" s="743"/>
      <c r="X11" s="743"/>
      <c r="Y11" s="743"/>
      <c r="Z11" s="743"/>
      <c r="AA11" s="743"/>
      <c r="AB11" s="743"/>
      <c r="AC11" s="743"/>
      <c r="AD11" s="743"/>
      <c r="AE11" s="743"/>
      <c r="AF11" s="743"/>
      <c r="AG11" s="743"/>
      <c r="AH11" s="743"/>
      <c r="AI11" s="743"/>
      <c r="AJ11" s="743"/>
      <c r="AK11" s="743"/>
      <c r="AL11" s="743"/>
      <c r="AM11" s="743"/>
      <c r="AN11" s="743"/>
    </row>
    <row r="12" spans="1:46" x14ac:dyDescent="0.25">
      <c r="A12" t="s">
        <v>229</v>
      </c>
      <c r="F12" s="14"/>
      <c r="G12" s="14"/>
      <c r="H12" s="13"/>
      <c r="I12" s="14"/>
      <c r="J12" s="14"/>
      <c r="K12" s="14"/>
      <c r="L12" s="14"/>
      <c r="M12" s="14"/>
      <c r="N12" s="14"/>
      <c r="O12" s="14"/>
      <c r="P12" s="14"/>
      <c r="Q12" s="14"/>
      <c r="R12" s="14"/>
    </row>
    <row r="13" spans="1:46" x14ac:dyDescent="0.25">
      <c r="A13" t="s">
        <v>232</v>
      </c>
      <c r="F13" s="14"/>
      <c r="G13" s="14"/>
      <c r="H13" s="13"/>
      <c r="I13" s="14"/>
      <c r="J13" s="14"/>
      <c r="K13" s="14"/>
      <c r="L13" s="14"/>
      <c r="M13" s="14"/>
      <c r="N13" s="14"/>
      <c r="O13" s="14"/>
      <c r="P13" s="14"/>
      <c r="Q13" s="14"/>
      <c r="R13" s="14"/>
    </row>
    <row r="14" spans="1:46" ht="14.95" customHeight="1" x14ac:dyDescent="0.25">
      <c r="F14" s="14"/>
      <c r="G14" s="14"/>
      <c r="H14" s="13"/>
      <c r="I14" s="14"/>
      <c r="J14" s="14"/>
      <c r="K14" s="14"/>
      <c r="L14" s="14"/>
      <c r="M14" s="14"/>
      <c r="N14" s="14"/>
      <c r="O14" s="14"/>
      <c r="P14" s="14"/>
      <c r="Q14" s="14"/>
      <c r="R14" s="14"/>
    </row>
    <row r="15" spans="1:46" x14ac:dyDescent="0.25">
      <c r="F15" s="14"/>
      <c r="G15" s="14"/>
      <c r="H15" s="13"/>
      <c r="I15" s="14"/>
      <c r="J15" s="14"/>
      <c r="K15" s="14"/>
      <c r="L15" s="14"/>
      <c r="M15" s="14"/>
      <c r="N15" s="14"/>
      <c r="O15" s="14"/>
      <c r="P15" s="14"/>
      <c r="Q15" s="14"/>
      <c r="R15" s="14"/>
    </row>
    <row r="16" spans="1:46" x14ac:dyDescent="0.25">
      <c r="F16" s="14"/>
      <c r="G16" s="14"/>
      <c r="H16" s="13"/>
      <c r="I16" s="14"/>
      <c r="J16" s="14"/>
      <c r="K16" s="14"/>
      <c r="L16" s="14"/>
      <c r="M16" s="14"/>
      <c r="N16" s="14"/>
      <c r="O16" s="14"/>
      <c r="P16" s="14"/>
      <c r="Q16" s="14"/>
      <c r="R16" s="14"/>
    </row>
    <row r="17" spans="1:18" x14ac:dyDescent="0.25">
      <c r="A17" t="s">
        <v>251</v>
      </c>
      <c r="F17" s="14"/>
      <c r="G17" s="14"/>
      <c r="H17" s="13"/>
      <c r="I17" s="14"/>
      <c r="J17" s="14"/>
      <c r="K17" s="14"/>
      <c r="L17" s="14"/>
      <c r="M17" s="14"/>
      <c r="N17" s="14"/>
      <c r="O17" s="14"/>
      <c r="P17" s="14"/>
      <c r="Q17" s="14"/>
      <c r="R17" s="14"/>
    </row>
    <row r="18" spans="1:18" x14ac:dyDescent="0.25">
      <c r="A18" s="155"/>
      <c r="B18" t="s">
        <v>44</v>
      </c>
    </row>
    <row r="19" spans="1:18" x14ac:dyDescent="0.25">
      <c r="A19" s="153"/>
      <c r="B19" t="s">
        <v>42</v>
      </c>
    </row>
    <row r="20" spans="1:18" x14ac:dyDescent="0.25">
      <c r="A20" s="154"/>
      <c r="B20" t="s">
        <v>43</v>
      </c>
    </row>
    <row r="21" spans="1:18" x14ac:dyDescent="0.25">
      <c r="A21" s="15" t="s">
        <v>28</v>
      </c>
    </row>
  </sheetData>
  <mergeCells count="14">
    <mergeCell ref="A11:AN11"/>
    <mergeCell ref="C8:E8"/>
    <mergeCell ref="C10:E10"/>
    <mergeCell ref="AK1:AN1"/>
    <mergeCell ref="P1:R1"/>
    <mergeCell ref="A1:C1"/>
    <mergeCell ref="E1:G1"/>
    <mergeCell ref="H1:I1"/>
    <mergeCell ref="J1:M1"/>
    <mergeCell ref="N1:O1"/>
    <mergeCell ref="Y1:AB1"/>
    <mergeCell ref="AC1:AF1"/>
    <mergeCell ref="AG1:AJ1"/>
    <mergeCell ref="C9:E9"/>
  </mergeCells>
  <pageMargins left="0.7" right="0.7" top="0.75" bottom="0.75" header="0.3" footer="0.3"/>
  <pageSetup paperSize="9"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T20"/>
  <sheetViews>
    <sheetView zoomScaleNormal="100" workbookViewId="0">
      <selection activeCell="A14" sqref="A14"/>
    </sheetView>
  </sheetViews>
  <sheetFormatPr defaultRowHeight="14.3" x14ac:dyDescent="0.25"/>
  <cols>
    <col min="1" max="1" width="7.5" customWidth="1"/>
    <col min="2" max="2" width="4.5" bestFit="1" customWidth="1"/>
    <col min="3" max="3" width="11.5" customWidth="1"/>
    <col min="4" max="4" width="4.5" customWidth="1"/>
    <col min="5" max="18" width="3.625" customWidth="1"/>
    <col min="19" max="20" width="6.375" customWidth="1"/>
    <col min="21" max="21" width="30.5" customWidth="1"/>
    <col min="22" max="22" width="22.5" bestFit="1" customWidth="1"/>
    <col min="23" max="23" width="23.625" bestFit="1" customWidth="1"/>
    <col min="24" max="24" width="24" bestFit="1" customWidth="1"/>
    <col min="25" max="40" width="3.625" customWidth="1"/>
    <col min="42" max="42" width="13.125" bestFit="1" customWidth="1"/>
    <col min="45" max="45" width="13.125" bestFit="1" customWidth="1"/>
  </cols>
  <sheetData>
    <row r="1" spans="1:46" ht="14.95" customHeight="1" thickBot="1" x14ac:dyDescent="0.3">
      <c r="A1" s="923" t="s">
        <v>211</v>
      </c>
      <c r="B1" s="924"/>
      <c r="C1" s="924"/>
      <c r="D1" s="219"/>
      <c r="E1" s="925" t="s">
        <v>24</v>
      </c>
      <c r="F1" s="926"/>
      <c r="G1" s="927"/>
      <c r="H1" s="925" t="s">
        <v>23</v>
      </c>
      <c r="I1" s="927"/>
      <c r="J1" s="920" t="s">
        <v>6</v>
      </c>
      <c r="K1" s="921"/>
      <c r="L1" s="921"/>
      <c r="M1" s="922"/>
      <c r="N1" s="920" t="s">
        <v>7</v>
      </c>
      <c r="O1" s="922"/>
      <c r="P1" s="920" t="s">
        <v>25</v>
      </c>
      <c r="Q1" s="921"/>
      <c r="R1" s="922"/>
      <c r="S1" s="220" t="s">
        <v>8</v>
      </c>
      <c r="T1" s="220" t="s">
        <v>9</v>
      </c>
      <c r="U1" s="221" t="s">
        <v>10</v>
      </c>
      <c r="V1" s="220" t="s">
        <v>11</v>
      </c>
      <c r="W1" s="222" t="s">
        <v>26</v>
      </c>
      <c r="X1" s="223" t="s">
        <v>27</v>
      </c>
      <c r="Y1" s="916" t="s">
        <v>20</v>
      </c>
      <c r="Z1" s="753"/>
      <c r="AA1" s="753"/>
      <c r="AB1" s="754"/>
      <c r="AC1" s="916" t="s">
        <v>61</v>
      </c>
      <c r="AD1" s="753"/>
      <c r="AE1" s="753"/>
      <c r="AF1" s="754"/>
      <c r="AG1" s="916" t="s">
        <v>62</v>
      </c>
      <c r="AH1" s="753"/>
      <c r="AI1" s="753"/>
      <c r="AJ1" s="754"/>
      <c r="AK1" s="916" t="s">
        <v>63</v>
      </c>
      <c r="AL1" s="753"/>
      <c r="AM1" s="753"/>
      <c r="AN1" s="754"/>
      <c r="AP1" s="413" t="s">
        <v>155</v>
      </c>
      <c r="AQ1" s="397"/>
      <c r="AR1" s="397"/>
      <c r="AS1" s="413" t="s">
        <v>155</v>
      </c>
    </row>
    <row r="2" spans="1:46" ht="14.95" customHeight="1" thickBot="1" x14ac:dyDescent="0.3">
      <c r="A2" s="224" t="s">
        <v>19</v>
      </c>
      <c r="B2" s="225" t="s">
        <v>18</v>
      </c>
      <c r="C2" s="226" t="s">
        <v>17</v>
      </c>
      <c r="D2" s="227" t="s">
        <v>41</v>
      </c>
      <c r="E2" s="227" t="s">
        <v>16</v>
      </c>
      <c r="F2" s="227" t="s">
        <v>4</v>
      </c>
      <c r="G2" s="227" t="s">
        <v>5</v>
      </c>
      <c r="H2" s="228" t="s">
        <v>12</v>
      </c>
      <c r="I2" s="228" t="s">
        <v>3</v>
      </c>
      <c r="J2" s="228" t="s">
        <v>12</v>
      </c>
      <c r="K2" s="228" t="s">
        <v>13</v>
      </c>
      <c r="L2" s="228" t="s">
        <v>2</v>
      </c>
      <c r="M2" s="228" t="s">
        <v>14</v>
      </c>
      <c r="N2" s="228" t="s">
        <v>15</v>
      </c>
      <c r="O2" s="228" t="s">
        <v>16</v>
      </c>
      <c r="P2" s="228" t="s">
        <v>21</v>
      </c>
      <c r="Q2" s="228" t="s">
        <v>22</v>
      </c>
      <c r="R2" s="228" t="s">
        <v>12</v>
      </c>
      <c r="S2" s="229"/>
      <c r="T2" s="230"/>
      <c r="U2" s="231"/>
      <c r="V2" s="229"/>
      <c r="W2" s="232"/>
      <c r="X2" s="233"/>
      <c r="Y2" s="425" t="s">
        <v>0</v>
      </c>
      <c r="Z2" s="425" t="s">
        <v>1</v>
      </c>
      <c r="AA2" s="425" t="s">
        <v>2</v>
      </c>
      <c r="AB2" s="425" t="s">
        <v>3</v>
      </c>
      <c r="AC2" s="425" t="s">
        <v>0</v>
      </c>
      <c r="AD2" s="425" t="s">
        <v>1</v>
      </c>
      <c r="AE2" s="425" t="s">
        <v>2</v>
      </c>
      <c r="AF2" s="425" t="s">
        <v>3</v>
      </c>
      <c r="AG2" s="425" t="s">
        <v>0</v>
      </c>
      <c r="AH2" s="425" t="s">
        <v>1</v>
      </c>
      <c r="AI2" s="425" t="s">
        <v>2</v>
      </c>
      <c r="AJ2" s="425" t="s">
        <v>3</v>
      </c>
      <c r="AK2" s="425" t="s">
        <v>0</v>
      </c>
      <c r="AL2" s="425" t="s">
        <v>1</v>
      </c>
      <c r="AM2" s="425" t="s">
        <v>2</v>
      </c>
      <c r="AN2" s="425" t="s">
        <v>3</v>
      </c>
      <c r="AP2" s="367" t="s">
        <v>107</v>
      </c>
      <c r="AQ2" s="204"/>
      <c r="AS2" s="368" t="s">
        <v>130</v>
      </c>
      <c r="AT2" s="204"/>
    </row>
    <row r="3" spans="1:46" ht="14.95" customHeight="1" thickBot="1" x14ac:dyDescent="0.3">
      <c r="A3" s="582">
        <v>44751</v>
      </c>
      <c r="B3" s="583" t="s">
        <v>490</v>
      </c>
      <c r="C3" s="583" t="s">
        <v>119</v>
      </c>
      <c r="D3" s="583" t="s">
        <v>538</v>
      </c>
      <c r="E3" s="566" t="s">
        <v>1</v>
      </c>
      <c r="F3" s="566">
        <v>34</v>
      </c>
      <c r="G3" s="566">
        <v>18</v>
      </c>
      <c r="H3" s="566">
        <v>1</v>
      </c>
      <c r="I3" s="566">
        <v>0</v>
      </c>
      <c r="J3" s="566">
        <v>5</v>
      </c>
      <c r="K3" s="566">
        <v>3</v>
      </c>
      <c r="L3" s="566">
        <v>0</v>
      </c>
      <c r="M3" s="566">
        <v>1</v>
      </c>
      <c r="N3" s="566">
        <v>0</v>
      </c>
      <c r="O3" s="566">
        <v>0</v>
      </c>
      <c r="P3" s="566">
        <v>0</v>
      </c>
      <c r="Q3" s="566">
        <v>0</v>
      </c>
      <c r="R3" s="566">
        <v>2</v>
      </c>
      <c r="S3" s="584"/>
      <c r="T3" s="634" t="s">
        <v>286</v>
      </c>
      <c r="U3" s="585" t="s">
        <v>451</v>
      </c>
      <c r="V3" s="584" t="s">
        <v>358</v>
      </c>
      <c r="W3" s="584" t="s">
        <v>540</v>
      </c>
      <c r="X3" s="579" t="s">
        <v>541</v>
      </c>
      <c r="Y3" s="447">
        <v>1</v>
      </c>
      <c r="Z3" s="447">
        <v>1</v>
      </c>
      <c r="AA3" s="447">
        <v>0</v>
      </c>
      <c r="AB3" s="567">
        <v>0</v>
      </c>
      <c r="AC3" s="447">
        <v>0</v>
      </c>
      <c r="AD3" s="447">
        <v>0</v>
      </c>
      <c r="AE3" s="447">
        <v>0</v>
      </c>
      <c r="AF3" s="567">
        <v>0</v>
      </c>
      <c r="AG3" s="447">
        <v>0</v>
      </c>
      <c r="AH3" s="447">
        <v>0</v>
      </c>
      <c r="AI3" s="447">
        <v>0</v>
      </c>
      <c r="AJ3" s="567">
        <v>0</v>
      </c>
      <c r="AK3" s="447">
        <v>1</v>
      </c>
      <c r="AL3" s="447">
        <v>1</v>
      </c>
      <c r="AM3" s="447">
        <v>0</v>
      </c>
      <c r="AN3" s="567">
        <v>0</v>
      </c>
      <c r="AP3" s="386" t="s">
        <v>132</v>
      </c>
      <c r="AQ3" s="387">
        <f>Samalltestshistplayed</f>
        <v>250</v>
      </c>
      <c r="AS3" s="386" t="s">
        <v>132</v>
      </c>
      <c r="AT3" s="387">
        <f>SamRWChistplayed</f>
        <v>32</v>
      </c>
    </row>
    <row r="4" spans="1:46" ht="14.95" customHeight="1" thickBot="1" x14ac:dyDescent="0.3">
      <c r="A4" s="501">
        <v>44758</v>
      </c>
      <c r="B4" s="516" t="s">
        <v>490</v>
      </c>
      <c r="C4" s="503" t="s">
        <v>31</v>
      </c>
      <c r="D4" s="503" t="s">
        <v>538</v>
      </c>
      <c r="E4" s="504" t="s">
        <v>1</v>
      </c>
      <c r="F4" s="504">
        <v>23</v>
      </c>
      <c r="G4" s="504">
        <v>20</v>
      </c>
      <c r="H4" s="504">
        <v>0</v>
      </c>
      <c r="I4" s="504">
        <v>0</v>
      </c>
      <c r="J4" s="504">
        <v>2</v>
      </c>
      <c r="K4" s="504">
        <v>2</v>
      </c>
      <c r="L4" s="504">
        <v>0</v>
      </c>
      <c r="M4" s="504">
        <v>3</v>
      </c>
      <c r="N4" s="504">
        <v>0</v>
      </c>
      <c r="O4" s="504">
        <v>0</v>
      </c>
      <c r="P4" s="504">
        <v>0</v>
      </c>
      <c r="Q4" s="504">
        <v>1</v>
      </c>
      <c r="R4" s="504">
        <v>2</v>
      </c>
      <c r="S4" s="511"/>
      <c r="T4" s="524" t="s">
        <v>583</v>
      </c>
      <c r="U4" s="513" t="s">
        <v>448</v>
      </c>
      <c r="V4" s="511" t="s">
        <v>358</v>
      </c>
      <c r="W4" s="506" t="s">
        <v>599</v>
      </c>
      <c r="X4" s="514" t="s">
        <v>469</v>
      </c>
      <c r="Y4" s="509">
        <v>1</v>
      </c>
      <c r="Z4" s="509">
        <v>1</v>
      </c>
      <c r="AA4" s="509">
        <v>0</v>
      </c>
      <c r="AB4" s="510">
        <v>0</v>
      </c>
      <c r="AC4" s="509">
        <v>0</v>
      </c>
      <c r="AD4" s="509">
        <v>0</v>
      </c>
      <c r="AE4" s="509">
        <v>0</v>
      </c>
      <c r="AF4" s="510">
        <v>0</v>
      </c>
      <c r="AG4" s="509">
        <v>1</v>
      </c>
      <c r="AH4" s="509">
        <v>1</v>
      </c>
      <c r="AI4" s="509">
        <v>0</v>
      </c>
      <c r="AJ4" s="510">
        <v>0</v>
      </c>
      <c r="AK4" s="509">
        <v>0</v>
      </c>
      <c r="AL4" s="509">
        <v>0</v>
      </c>
      <c r="AM4" s="509">
        <v>0</v>
      </c>
      <c r="AN4" s="510">
        <v>0</v>
      </c>
      <c r="AP4" s="388" t="s">
        <v>133</v>
      </c>
      <c r="AQ4" s="389">
        <f>Samalltestshistwon</f>
        <v>110</v>
      </c>
      <c r="AS4" s="388" t="s">
        <v>133</v>
      </c>
      <c r="AT4" s="389">
        <f>SamRWChistwon</f>
        <v>13</v>
      </c>
    </row>
    <row r="5" spans="1:46" ht="14.95" customHeight="1" thickBot="1" x14ac:dyDescent="0.3">
      <c r="A5" s="501">
        <v>44870</v>
      </c>
      <c r="B5" s="503" t="s">
        <v>721</v>
      </c>
      <c r="C5" s="503" t="s">
        <v>33</v>
      </c>
      <c r="D5" s="503" t="s">
        <v>720</v>
      </c>
      <c r="E5" s="504" t="s">
        <v>3</v>
      </c>
      <c r="F5" s="504">
        <v>17</v>
      </c>
      <c r="G5" s="504">
        <v>49</v>
      </c>
      <c r="H5" s="504">
        <v>0</v>
      </c>
      <c r="I5" s="504">
        <v>0</v>
      </c>
      <c r="J5" s="504">
        <v>3</v>
      </c>
      <c r="K5" s="504">
        <v>1</v>
      </c>
      <c r="L5" s="504">
        <v>0</v>
      </c>
      <c r="M5" s="504">
        <v>0</v>
      </c>
      <c r="N5" s="504">
        <v>0</v>
      </c>
      <c r="O5" s="504">
        <v>0</v>
      </c>
      <c r="P5" s="504" t="s">
        <v>106</v>
      </c>
      <c r="Q5" s="504" t="s">
        <v>106</v>
      </c>
      <c r="R5" s="504">
        <v>6</v>
      </c>
      <c r="S5" s="509">
        <v>8457</v>
      </c>
      <c r="T5" s="715" t="s">
        <v>790</v>
      </c>
      <c r="U5" s="509" t="s">
        <v>340</v>
      </c>
      <c r="V5" s="509" t="s">
        <v>511</v>
      </c>
      <c r="W5" s="506" t="s">
        <v>324</v>
      </c>
      <c r="X5" s="514" t="s">
        <v>789</v>
      </c>
      <c r="Y5" s="509">
        <v>1</v>
      </c>
      <c r="Z5" s="509">
        <v>0</v>
      </c>
      <c r="AA5" s="509">
        <v>0</v>
      </c>
      <c r="AB5" s="510">
        <v>1</v>
      </c>
      <c r="AC5" s="509">
        <v>0</v>
      </c>
      <c r="AD5" s="509">
        <v>0</v>
      </c>
      <c r="AE5" s="509">
        <v>0</v>
      </c>
      <c r="AF5" s="510">
        <v>0</v>
      </c>
      <c r="AG5" s="509">
        <v>1</v>
      </c>
      <c r="AH5" s="509">
        <v>0</v>
      </c>
      <c r="AI5" s="509">
        <v>0</v>
      </c>
      <c r="AJ5" s="510">
        <v>1</v>
      </c>
      <c r="AK5" s="509">
        <v>0</v>
      </c>
      <c r="AL5" s="509">
        <v>0</v>
      </c>
      <c r="AM5" s="509">
        <v>0</v>
      </c>
      <c r="AN5" s="510">
        <v>0</v>
      </c>
      <c r="AP5" s="388" t="s">
        <v>139</v>
      </c>
      <c r="AQ5" s="389">
        <f>Samalltestshistdrawn</f>
        <v>9</v>
      </c>
      <c r="AS5" s="388" t="s">
        <v>139</v>
      </c>
      <c r="AT5" s="389">
        <f>SamRWChistdrawn</f>
        <v>0</v>
      </c>
    </row>
    <row r="6" spans="1:46" ht="14.95" customHeight="1" thickBot="1" x14ac:dyDescent="0.35">
      <c r="A6" s="518">
        <v>44877</v>
      </c>
      <c r="B6" s="517" t="s">
        <v>45</v>
      </c>
      <c r="C6" s="650" t="s">
        <v>38</v>
      </c>
      <c r="D6" s="517" t="s">
        <v>219</v>
      </c>
      <c r="E6" s="504" t="s">
        <v>1</v>
      </c>
      <c r="F6" s="504">
        <v>20</v>
      </c>
      <c r="G6" s="504">
        <v>19</v>
      </c>
      <c r="H6" s="504" t="s">
        <v>106</v>
      </c>
      <c r="I6" s="504" t="s">
        <v>106</v>
      </c>
      <c r="J6" s="504">
        <v>2</v>
      </c>
      <c r="K6" s="504">
        <v>2</v>
      </c>
      <c r="L6" s="504">
        <v>0</v>
      </c>
      <c r="M6" s="504">
        <v>2</v>
      </c>
      <c r="N6" s="504">
        <v>1</v>
      </c>
      <c r="O6" s="504">
        <v>1</v>
      </c>
      <c r="P6" s="504" t="s">
        <v>106</v>
      </c>
      <c r="Q6" s="504" t="s">
        <v>106</v>
      </c>
      <c r="R6" s="504">
        <v>2</v>
      </c>
      <c r="S6" s="509"/>
      <c r="T6" s="512" t="s">
        <v>265</v>
      </c>
      <c r="U6" s="509" t="s">
        <v>285</v>
      </c>
      <c r="V6" s="509" t="s">
        <v>806</v>
      </c>
      <c r="W6" s="506" t="s">
        <v>278</v>
      </c>
      <c r="X6" s="514" t="s">
        <v>782</v>
      </c>
      <c r="Y6" s="509">
        <v>1</v>
      </c>
      <c r="Z6" s="509">
        <v>1</v>
      </c>
      <c r="AA6" s="509">
        <v>0</v>
      </c>
      <c r="AB6" s="510">
        <v>0</v>
      </c>
      <c r="AC6" s="509">
        <v>0</v>
      </c>
      <c r="AD6" s="509">
        <v>0</v>
      </c>
      <c r="AE6" s="509">
        <v>0</v>
      </c>
      <c r="AF6" s="510">
        <v>0</v>
      </c>
      <c r="AG6" s="509">
        <v>1</v>
      </c>
      <c r="AH6" s="509">
        <v>1</v>
      </c>
      <c r="AI6" s="509">
        <v>0</v>
      </c>
      <c r="AJ6" s="510">
        <v>0</v>
      </c>
      <c r="AK6" s="509">
        <v>0</v>
      </c>
      <c r="AL6" s="509">
        <v>0</v>
      </c>
      <c r="AM6" s="509">
        <v>0</v>
      </c>
      <c r="AN6" s="510">
        <v>0</v>
      </c>
      <c r="AP6" s="388" t="s">
        <v>134</v>
      </c>
      <c r="AQ6" s="389">
        <f>Samalltestshistlost</f>
        <v>131</v>
      </c>
      <c r="AS6" s="388" t="s">
        <v>134</v>
      </c>
      <c r="AT6" s="389">
        <f>SamRWChistlost</f>
        <v>19</v>
      </c>
    </row>
    <row r="7" spans="1:46" ht="14.95" customHeight="1" thickBot="1" x14ac:dyDescent="0.35">
      <c r="A7" s="518">
        <v>44884</v>
      </c>
      <c r="B7" s="517" t="s">
        <v>45</v>
      </c>
      <c r="C7" s="517" t="s">
        <v>123</v>
      </c>
      <c r="D7" s="517" t="s">
        <v>193</v>
      </c>
      <c r="E7" s="519" t="s">
        <v>1</v>
      </c>
      <c r="F7" s="504">
        <v>22</v>
      </c>
      <c r="G7" s="504">
        <v>0</v>
      </c>
      <c r="H7" s="504" t="s">
        <v>106</v>
      </c>
      <c r="I7" s="504" t="s">
        <v>106</v>
      </c>
      <c r="J7" s="504">
        <v>3</v>
      </c>
      <c r="K7" s="504">
        <v>2</v>
      </c>
      <c r="L7" s="504">
        <v>0</v>
      </c>
      <c r="M7" s="504">
        <v>1</v>
      </c>
      <c r="N7" s="504">
        <v>0</v>
      </c>
      <c r="O7" s="504">
        <v>0</v>
      </c>
      <c r="P7" s="504" t="s">
        <v>106</v>
      </c>
      <c r="Q7" s="504" t="s">
        <v>106</v>
      </c>
      <c r="R7" s="504">
        <v>0</v>
      </c>
      <c r="S7" s="509"/>
      <c r="T7" s="725" t="s">
        <v>493</v>
      </c>
      <c r="U7" s="509" t="s">
        <v>340</v>
      </c>
      <c r="V7" s="509" t="s">
        <v>870</v>
      </c>
      <c r="W7" s="506" t="s">
        <v>871</v>
      </c>
      <c r="X7" s="506" t="s">
        <v>621</v>
      </c>
      <c r="Y7" s="509">
        <v>1</v>
      </c>
      <c r="Z7" s="509">
        <v>1</v>
      </c>
      <c r="AA7" s="509">
        <v>0</v>
      </c>
      <c r="AB7" s="510">
        <v>0</v>
      </c>
      <c r="AC7" s="509">
        <v>0</v>
      </c>
      <c r="AD7" s="509">
        <v>0</v>
      </c>
      <c r="AE7" s="509">
        <v>0</v>
      </c>
      <c r="AF7" s="510">
        <v>0</v>
      </c>
      <c r="AG7" s="509">
        <v>1</v>
      </c>
      <c r="AH7" s="509">
        <v>1</v>
      </c>
      <c r="AI7" s="509">
        <v>0</v>
      </c>
      <c r="AJ7" s="510">
        <v>0</v>
      </c>
      <c r="AK7" s="509">
        <v>0</v>
      </c>
      <c r="AL7" s="509">
        <v>0</v>
      </c>
      <c r="AM7" s="509">
        <v>0</v>
      </c>
      <c r="AN7" s="510">
        <v>0</v>
      </c>
      <c r="AP7" s="388" t="s">
        <v>140</v>
      </c>
      <c r="AQ7" s="389">
        <f>Samalltestshistptsscored</f>
        <v>5104</v>
      </c>
      <c r="AS7" s="388" t="s">
        <v>140</v>
      </c>
      <c r="AT7" s="389">
        <f>SamRWChistptsscored</f>
        <v>712</v>
      </c>
    </row>
    <row r="8" spans="1:46" ht="14.95" customHeight="1" thickBot="1" x14ac:dyDescent="0.3">
      <c r="A8" s="310"/>
      <c r="B8" s="311"/>
      <c r="C8" s="917" t="s">
        <v>600</v>
      </c>
      <c r="D8" s="918"/>
      <c r="E8" s="919"/>
      <c r="F8" s="412">
        <f>SUM(F3+F4)</f>
        <v>57</v>
      </c>
      <c r="G8" s="412">
        <f>SUM(G3+G4)</f>
        <v>38</v>
      </c>
      <c r="H8" s="412" t="s">
        <v>106</v>
      </c>
      <c r="I8" s="412" t="s">
        <v>106</v>
      </c>
      <c r="J8" s="412">
        <f t="shared" ref="J8:O8" si="0">SUM(J3+J4)</f>
        <v>7</v>
      </c>
      <c r="K8" s="412">
        <f t="shared" si="0"/>
        <v>5</v>
      </c>
      <c r="L8" s="412">
        <f t="shared" si="0"/>
        <v>0</v>
      </c>
      <c r="M8" s="412">
        <f t="shared" si="0"/>
        <v>4</v>
      </c>
      <c r="N8" s="412">
        <f t="shared" si="0"/>
        <v>0</v>
      </c>
      <c r="O8" s="412">
        <f t="shared" si="0"/>
        <v>0</v>
      </c>
      <c r="P8" s="412" t="s">
        <v>106</v>
      </c>
      <c r="Q8" s="412" t="s">
        <v>106</v>
      </c>
      <c r="R8" s="412">
        <f>SUM(R3+R4)</f>
        <v>4</v>
      </c>
      <c r="S8" s="312"/>
      <c r="T8" s="312"/>
      <c r="U8" s="312"/>
      <c r="V8" s="312"/>
      <c r="W8" s="313"/>
      <c r="X8" s="451" t="s">
        <v>600</v>
      </c>
      <c r="Y8" s="412">
        <f t="shared" ref="Y8:AN8" si="1">SUM(Y3+Y4)</f>
        <v>2</v>
      </c>
      <c r="Z8" s="412">
        <f t="shared" si="1"/>
        <v>2</v>
      </c>
      <c r="AA8" s="412">
        <f t="shared" si="1"/>
        <v>0</v>
      </c>
      <c r="AB8" s="412">
        <f t="shared" si="1"/>
        <v>0</v>
      </c>
      <c r="AC8" s="410">
        <f t="shared" si="1"/>
        <v>0</v>
      </c>
      <c r="AD8" s="410">
        <f t="shared" si="1"/>
        <v>0</v>
      </c>
      <c r="AE8" s="410">
        <f t="shared" si="1"/>
        <v>0</v>
      </c>
      <c r="AF8" s="410">
        <f t="shared" si="1"/>
        <v>0</v>
      </c>
      <c r="AG8" s="411">
        <f t="shared" si="1"/>
        <v>1</v>
      </c>
      <c r="AH8" s="411">
        <f t="shared" si="1"/>
        <v>1</v>
      </c>
      <c r="AI8" s="411">
        <f t="shared" si="1"/>
        <v>0</v>
      </c>
      <c r="AJ8" s="411">
        <f t="shared" si="1"/>
        <v>0</v>
      </c>
      <c r="AK8" s="412">
        <f t="shared" si="1"/>
        <v>1</v>
      </c>
      <c r="AL8" s="412">
        <f t="shared" si="1"/>
        <v>1</v>
      </c>
      <c r="AM8" s="412">
        <f t="shared" si="1"/>
        <v>0</v>
      </c>
      <c r="AN8" s="412">
        <f t="shared" si="1"/>
        <v>0</v>
      </c>
      <c r="AP8" s="388" t="s">
        <v>141</v>
      </c>
      <c r="AQ8" s="389">
        <f>Samalltestshistptscon</f>
        <v>5581</v>
      </c>
      <c r="AS8" s="388" t="s">
        <v>141</v>
      </c>
      <c r="AT8" s="389">
        <f>SamRWChistptscon</f>
        <v>860</v>
      </c>
    </row>
    <row r="9" spans="1:46" ht="14.95" customHeight="1" thickBot="1" x14ac:dyDescent="0.3">
      <c r="A9" s="310"/>
      <c r="B9" s="311"/>
      <c r="C9" s="771" t="s">
        <v>173</v>
      </c>
      <c r="D9" s="801"/>
      <c r="E9" s="802"/>
      <c r="F9" s="602">
        <f>F5</f>
        <v>17</v>
      </c>
      <c r="G9" s="602">
        <f>G5</f>
        <v>49</v>
      </c>
      <c r="H9" s="602" t="s">
        <v>106</v>
      </c>
      <c r="I9" s="602" t="s">
        <v>106</v>
      </c>
      <c r="J9" s="602">
        <f t="shared" ref="J9:O9" si="2">J5</f>
        <v>3</v>
      </c>
      <c r="K9" s="602">
        <f t="shared" si="2"/>
        <v>1</v>
      </c>
      <c r="L9" s="602">
        <f t="shared" si="2"/>
        <v>0</v>
      </c>
      <c r="M9" s="602">
        <f t="shared" si="2"/>
        <v>0</v>
      </c>
      <c r="N9" s="602">
        <f t="shared" si="2"/>
        <v>0</v>
      </c>
      <c r="O9" s="602">
        <f t="shared" si="2"/>
        <v>0</v>
      </c>
      <c r="P9" s="602" t="s">
        <v>106</v>
      </c>
      <c r="Q9" s="602" t="s">
        <v>106</v>
      </c>
      <c r="R9" s="602">
        <f>R5</f>
        <v>6</v>
      </c>
      <c r="S9" s="618"/>
      <c r="T9" s="618"/>
      <c r="U9" s="618"/>
      <c r="V9" s="618"/>
      <c r="W9" s="600"/>
      <c r="X9" s="609" t="s">
        <v>173</v>
      </c>
      <c r="Y9" s="602">
        <f t="shared" ref="Y9:AN9" si="3">Y5</f>
        <v>1</v>
      </c>
      <c r="Z9" s="602">
        <f t="shared" si="3"/>
        <v>0</v>
      </c>
      <c r="AA9" s="602">
        <f t="shared" si="3"/>
        <v>0</v>
      </c>
      <c r="AB9" s="602">
        <f t="shared" si="3"/>
        <v>1</v>
      </c>
      <c r="AC9" s="603">
        <f t="shared" si="3"/>
        <v>0</v>
      </c>
      <c r="AD9" s="603">
        <f t="shared" si="3"/>
        <v>0</v>
      </c>
      <c r="AE9" s="603">
        <f t="shared" si="3"/>
        <v>0</v>
      </c>
      <c r="AF9" s="603">
        <f t="shared" si="3"/>
        <v>0</v>
      </c>
      <c r="AG9" s="604">
        <f t="shared" si="3"/>
        <v>1</v>
      </c>
      <c r="AH9" s="604">
        <f t="shared" si="3"/>
        <v>0</v>
      </c>
      <c r="AI9" s="604">
        <f t="shared" si="3"/>
        <v>0</v>
      </c>
      <c r="AJ9" s="604">
        <f t="shared" si="3"/>
        <v>1</v>
      </c>
      <c r="AK9" s="602">
        <f t="shared" si="3"/>
        <v>0</v>
      </c>
      <c r="AL9" s="602">
        <f t="shared" si="3"/>
        <v>0</v>
      </c>
      <c r="AM9" s="602">
        <f t="shared" si="3"/>
        <v>0</v>
      </c>
      <c r="AN9" s="602">
        <f t="shared" si="3"/>
        <v>0</v>
      </c>
      <c r="AP9" s="388" t="s">
        <v>131</v>
      </c>
      <c r="AQ9" s="389">
        <f>SamalltestshistTRIESSCORED</f>
        <v>546</v>
      </c>
      <c r="AS9" s="388" t="s">
        <v>131</v>
      </c>
      <c r="AT9" s="389">
        <f>SamRWChisttriesscored</f>
        <v>83</v>
      </c>
    </row>
    <row r="10" spans="1:46" ht="14.95" customHeight="1" thickBot="1" x14ac:dyDescent="0.3">
      <c r="A10" s="310"/>
      <c r="B10" s="311"/>
      <c r="C10" s="760" t="s">
        <v>107</v>
      </c>
      <c r="D10" s="761"/>
      <c r="E10" s="762"/>
      <c r="F10" s="422">
        <f>SUM(F3:F7)</f>
        <v>116</v>
      </c>
      <c r="G10" s="422">
        <f t="shared" ref="G10:R10" si="4">SUM(G3:G7)</f>
        <v>106</v>
      </c>
      <c r="H10" s="422">
        <f t="shared" si="4"/>
        <v>1</v>
      </c>
      <c r="I10" s="422">
        <f t="shared" si="4"/>
        <v>0</v>
      </c>
      <c r="J10" s="422">
        <f t="shared" si="4"/>
        <v>15</v>
      </c>
      <c r="K10" s="422">
        <f t="shared" si="4"/>
        <v>10</v>
      </c>
      <c r="L10" s="422">
        <f t="shared" si="4"/>
        <v>0</v>
      </c>
      <c r="M10" s="422">
        <f t="shared" si="4"/>
        <v>7</v>
      </c>
      <c r="N10" s="422">
        <f t="shared" si="4"/>
        <v>1</v>
      </c>
      <c r="O10" s="422">
        <f t="shared" si="4"/>
        <v>1</v>
      </c>
      <c r="P10" s="422">
        <f t="shared" si="4"/>
        <v>0</v>
      </c>
      <c r="Q10" s="422">
        <f t="shared" si="4"/>
        <v>1</v>
      </c>
      <c r="R10" s="422">
        <f t="shared" si="4"/>
        <v>12</v>
      </c>
      <c r="S10" s="419"/>
      <c r="T10" s="419"/>
      <c r="U10" s="419"/>
      <c r="V10" s="419"/>
      <c r="W10" s="13"/>
      <c r="X10" s="447" t="s">
        <v>107</v>
      </c>
      <c r="Y10" s="422">
        <f t="shared" ref="Y10:AN10" si="5">SUM(Y3:Y7)</f>
        <v>5</v>
      </c>
      <c r="Z10" s="422">
        <f t="shared" si="5"/>
        <v>4</v>
      </c>
      <c r="AA10" s="422">
        <f t="shared" si="5"/>
        <v>0</v>
      </c>
      <c r="AB10" s="422">
        <f t="shared" si="5"/>
        <v>1</v>
      </c>
      <c r="AC10" s="420">
        <f t="shared" si="5"/>
        <v>0</v>
      </c>
      <c r="AD10" s="420">
        <f t="shared" si="5"/>
        <v>0</v>
      </c>
      <c r="AE10" s="420">
        <f t="shared" si="5"/>
        <v>0</v>
      </c>
      <c r="AF10" s="420">
        <f t="shared" si="5"/>
        <v>0</v>
      </c>
      <c r="AG10" s="421">
        <f t="shared" si="5"/>
        <v>4</v>
      </c>
      <c r="AH10" s="421">
        <f t="shared" si="5"/>
        <v>3</v>
      </c>
      <c r="AI10" s="421">
        <f t="shared" si="5"/>
        <v>0</v>
      </c>
      <c r="AJ10" s="421">
        <f t="shared" si="5"/>
        <v>1</v>
      </c>
      <c r="AK10" s="422">
        <f t="shared" si="5"/>
        <v>1</v>
      </c>
      <c r="AL10" s="422">
        <f t="shared" si="5"/>
        <v>1</v>
      </c>
      <c r="AM10" s="422">
        <f t="shared" si="5"/>
        <v>0</v>
      </c>
      <c r="AN10" s="422">
        <f t="shared" si="5"/>
        <v>0</v>
      </c>
    </row>
    <row r="11" spans="1:46" ht="15.8" customHeight="1" x14ac:dyDescent="0.25">
      <c r="A11" s="788" t="s">
        <v>539</v>
      </c>
      <c r="B11" s="789"/>
      <c r="C11" s="789"/>
      <c r="D11" s="789"/>
      <c r="E11" s="789"/>
      <c r="F11" s="789"/>
      <c r="G11" s="789"/>
      <c r="H11" s="789"/>
      <c r="I11" s="789"/>
      <c r="J11" s="789"/>
      <c r="K11" s="789"/>
      <c r="L11" s="789"/>
      <c r="M11" s="789"/>
      <c r="N11" s="789"/>
      <c r="O11" s="789"/>
      <c r="P11" s="789"/>
      <c r="Q11" s="789"/>
      <c r="R11" s="789"/>
      <c r="S11" s="789"/>
      <c r="T11" s="789"/>
      <c r="U11" s="789"/>
      <c r="V11" s="789"/>
      <c r="W11" s="789"/>
      <c r="X11" s="789"/>
      <c r="Y11" s="789"/>
      <c r="Z11" s="789"/>
      <c r="AA11" s="789"/>
      <c r="AB11" s="789"/>
      <c r="AC11" s="789"/>
      <c r="AD11" s="789"/>
      <c r="AE11" s="789"/>
      <c r="AF11" s="789"/>
      <c r="AG11" s="789"/>
      <c r="AH11" s="789"/>
      <c r="AI11" s="789"/>
      <c r="AJ11" s="789"/>
      <c r="AK11" s="789"/>
      <c r="AL11" s="789"/>
      <c r="AM11" s="789"/>
      <c r="AN11" s="789"/>
    </row>
    <row r="12" spans="1:46" x14ac:dyDescent="0.25">
      <c r="A12" s="632" t="s">
        <v>745</v>
      </c>
      <c r="F12" s="14"/>
      <c r="G12" s="14"/>
      <c r="H12" s="13"/>
      <c r="I12" s="14"/>
      <c r="J12" s="14"/>
      <c r="K12" s="14"/>
      <c r="L12" s="14"/>
      <c r="M12" s="14"/>
      <c r="N12" s="14"/>
      <c r="O12" s="14"/>
      <c r="P12" s="14"/>
      <c r="Q12" s="14"/>
      <c r="R12" s="14"/>
    </row>
    <row r="13" spans="1:46" x14ac:dyDescent="0.25">
      <c r="A13" s="417" t="s">
        <v>734</v>
      </c>
      <c r="F13" s="14"/>
      <c r="G13" s="14"/>
      <c r="H13" s="13"/>
      <c r="I13" s="14"/>
      <c r="J13" s="14"/>
      <c r="K13" s="14"/>
      <c r="L13" s="14"/>
      <c r="M13" s="14"/>
      <c r="N13" s="14"/>
      <c r="O13" s="14"/>
      <c r="P13" s="14"/>
      <c r="Q13" s="14"/>
      <c r="R13" s="14"/>
    </row>
    <row r="14" spans="1:46" x14ac:dyDescent="0.25">
      <c r="A14" s="678" t="s">
        <v>644</v>
      </c>
      <c r="F14" s="14"/>
      <c r="G14" s="14"/>
      <c r="H14" s="13"/>
      <c r="I14" s="14"/>
      <c r="J14" s="14"/>
      <c r="K14" s="14"/>
      <c r="L14" s="14"/>
      <c r="M14" s="14"/>
      <c r="N14" s="14"/>
      <c r="O14" s="14"/>
      <c r="P14" s="14"/>
      <c r="Q14" s="14"/>
      <c r="R14" s="14"/>
    </row>
    <row r="15" spans="1:46" x14ac:dyDescent="0.25">
      <c r="A15" s="406"/>
      <c r="F15" s="14"/>
      <c r="G15" s="14"/>
      <c r="H15" s="13"/>
      <c r="I15" s="14"/>
      <c r="J15" s="14"/>
      <c r="K15" s="14"/>
      <c r="L15" s="14"/>
      <c r="M15" s="14"/>
      <c r="N15" s="14"/>
      <c r="O15" s="14"/>
      <c r="P15" s="14"/>
      <c r="Q15" s="14"/>
      <c r="R15" s="14"/>
    </row>
    <row r="16" spans="1:46" x14ac:dyDescent="0.25">
      <c r="A16" s="632" t="s">
        <v>724</v>
      </c>
      <c r="F16" s="14"/>
      <c r="G16" s="14"/>
      <c r="H16" s="13"/>
      <c r="I16" s="14"/>
      <c r="J16" s="14"/>
      <c r="K16" s="14"/>
      <c r="L16" s="14"/>
      <c r="M16" s="14"/>
      <c r="N16" s="14"/>
      <c r="O16" s="14"/>
      <c r="P16" s="14"/>
      <c r="Q16" s="14"/>
      <c r="R16" s="14"/>
    </row>
    <row r="17" spans="1:2" x14ac:dyDescent="0.25">
      <c r="A17" s="155"/>
      <c r="B17" t="s">
        <v>44</v>
      </c>
    </row>
    <row r="18" spans="1:2" x14ac:dyDescent="0.25">
      <c r="A18" s="153"/>
      <c r="B18" t="s">
        <v>42</v>
      </c>
    </row>
    <row r="19" spans="1:2" x14ac:dyDescent="0.25">
      <c r="A19" s="154"/>
      <c r="B19" t="s">
        <v>43</v>
      </c>
    </row>
    <row r="20" spans="1:2" x14ac:dyDescent="0.25">
      <c r="A20" s="15" t="s">
        <v>28</v>
      </c>
    </row>
  </sheetData>
  <mergeCells count="14">
    <mergeCell ref="AK1:AN1"/>
    <mergeCell ref="A11:AN11"/>
    <mergeCell ref="C8:E8"/>
    <mergeCell ref="C10:E10"/>
    <mergeCell ref="P1:R1"/>
    <mergeCell ref="A1:C1"/>
    <mergeCell ref="E1:G1"/>
    <mergeCell ref="H1:I1"/>
    <mergeCell ref="J1:M1"/>
    <mergeCell ref="N1:O1"/>
    <mergeCell ref="Y1:AB1"/>
    <mergeCell ref="AC1:AF1"/>
    <mergeCell ref="AG1:AJ1"/>
    <mergeCell ref="C9:E9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T28"/>
  <sheetViews>
    <sheetView workbookViewId="0">
      <selection activeCell="U29" sqref="U29"/>
    </sheetView>
  </sheetViews>
  <sheetFormatPr defaultRowHeight="14.3" x14ac:dyDescent="0.25"/>
  <cols>
    <col min="1" max="1" width="7.5" customWidth="1"/>
    <col min="2" max="2" width="4.5" bestFit="1" customWidth="1"/>
    <col min="3" max="3" width="11.5" customWidth="1"/>
    <col min="4" max="4" width="4.5" bestFit="1" customWidth="1"/>
    <col min="5" max="5" width="3.625" customWidth="1"/>
    <col min="6" max="7" width="4" bestFit="1" customWidth="1"/>
    <col min="8" max="18" width="3.625" customWidth="1"/>
    <col min="19" max="20" width="6.375" customWidth="1"/>
    <col min="21" max="21" width="21.125" bestFit="1" customWidth="1"/>
    <col min="22" max="23" width="21.5" bestFit="1" customWidth="1"/>
    <col min="24" max="24" width="22.125" bestFit="1" customWidth="1"/>
    <col min="25" max="40" width="3.625" customWidth="1"/>
    <col min="42" max="42" width="13.125" bestFit="1" customWidth="1"/>
    <col min="45" max="45" width="13.125" bestFit="1" customWidth="1"/>
  </cols>
  <sheetData>
    <row r="1" spans="1:46" ht="14.95" customHeight="1" thickBot="1" x14ac:dyDescent="0.3">
      <c r="A1" s="928" t="s">
        <v>212</v>
      </c>
      <c r="B1" s="929"/>
      <c r="C1" s="929"/>
      <c r="D1" s="158"/>
      <c r="E1" s="930" t="s">
        <v>24</v>
      </c>
      <c r="F1" s="931"/>
      <c r="G1" s="932"/>
      <c r="H1" s="930" t="s">
        <v>23</v>
      </c>
      <c r="I1" s="932"/>
      <c r="J1" s="934" t="s">
        <v>6</v>
      </c>
      <c r="K1" s="935"/>
      <c r="L1" s="935"/>
      <c r="M1" s="936"/>
      <c r="N1" s="934" t="s">
        <v>7</v>
      </c>
      <c r="O1" s="936"/>
      <c r="P1" s="934" t="s">
        <v>25</v>
      </c>
      <c r="Q1" s="935"/>
      <c r="R1" s="936"/>
      <c r="S1" s="437" t="s">
        <v>8</v>
      </c>
      <c r="T1" s="437" t="s">
        <v>9</v>
      </c>
      <c r="U1" s="116" t="s">
        <v>10</v>
      </c>
      <c r="V1" s="115" t="s">
        <v>11</v>
      </c>
      <c r="W1" s="117" t="s">
        <v>26</v>
      </c>
      <c r="X1" s="657" t="s">
        <v>27</v>
      </c>
      <c r="Y1" s="933" t="s">
        <v>20</v>
      </c>
      <c r="Z1" s="753"/>
      <c r="AA1" s="753"/>
      <c r="AB1" s="754"/>
      <c r="AC1" s="933" t="s">
        <v>61</v>
      </c>
      <c r="AD1" s="753"/>
      <c r="AE1" s="753"/>
      <c r="AF1" s="754"/>
      <c r="AG1" s="933" t="s">
        <v>62</v>
      </c>
      <c r="AH1" s="753"/>
      <c r="AI1" s="753"/>
      <c r="AJ1" s="754"/>
      <c r="AK1" s="933" t="s">
        <v>63</v>
      </c>
      <c r="AL1" s="753"/>
      <c r="AM1" s="753"/>
      <c r="AN1" s="754"/>
      <c r="AP1" s="414" t="s">
        <v>160</v>
      </c>
      <c r="AQ1" s="397"/>
      <c r="AR1" s="397"/>
      <c r="AS1" s="414" t="s">
        <v>160</v>
      </c>
    </row>
    <row r="2" spans="1:46" ht="14.95" customHeight="1" thickBot="1" x14ac:dyDescent="0.3">
      <c r="A2" s="118" t="s">
        <v>19</v>
      </c>
      <c r="B2" s="119" t="s">
        <v>18</v>
      </c>
      <c r="C2" s="120" t="s">
        <v>17</v>
      </c>
      <c r="D2" s="121" t="s">
        <v>41</v>
      </c>
      <c r="E2" s="121" t="s">
        <v>16</v>
      </c>
      <c r="F2" s="121" t="s">
        <v>4</v>
      </c>
      <c r="G2" s="121" t="s">
        <v>5</v>
      </c>
      <c r="H2" s="122" t="s">
        <v>12</v>
      </c>
      <c r="I2" s="122" t="s">
        <v>3</v>
      </c>
      <c r="J2" s="122" t="s">
        <v>12</v>
      </c>
      <c r="K2" s="122" t="s">
        <v>13</v>
      </c>
      <c r="L2" s="122" t="s">
        <v>2</v>
      </c>
      <c r="M2" s="122" t="s">
        <v>14</v>
      </c>
      <c r="N2" s="122" t="s">
        <v>15</v>
      </c>
      <c r="O2" s="122" t="s">
        <v>16</v>
      </c>
      <c r="P2" s="122" t="s">
        <v>21</v>
      </c>
      <c r="Q2" s="122" t="s">
        <v>22</v>
      </c>
      <c r="R2" s="122" t="s">
        <v>12</v>
      </c>
      <c r="S2" s="123"/>
      <c r="T2" s="124"/>
      <c r="U2" s="125"/>
      <c r="V2" s="123"/>
      <c r="W2" s="126"/>
      <c r="X2" s="127"/>
      <c r="Y2" s="343" t="s">
        <v>0</v>
      </c>
      <c r="Z2" s="343" t="s">
        <v>1</v>
      </c>
      <c r="AA2" s="343" t="s">
        <v>2</v>
      </c>
      <c r="AB2" s="343" t="s">
        <v>3</v>
      </c>
      <c r="AC2" s="343" t="s">
        <v>0</v>
      </c>
      <c r="AD2" s="343" t="s">
        <v>1</v>
      </c>
      <c r="AE2" s="343" t="s">
        <v>2</v>
      </c>
      <c r="AF2" s="343" t="s">
        <v>3</v>
      </c>
      <c r="AG2" s="343" t="s">
        <v>0</v>
      </c>
      <c r="AH2" s="343" t="s">
        <v>1</v>
      </c>
      <c r="AI2" s="343" t="s">
        <v>2</v>
      </c>
      <c r="AJ2" s="343" t="s">
        <v>3</v>
      </c>
      <c r="AK2" s="343" t="s">
        <v>0</v>
      </c>
      <c r="AL2" s="343" t="s">
        <v>1</v>
      </c>
      <c r="AM2" s="343" t="s">
        <v>2</v>
      </c>
      <c r="AN2" s="343" t="s">
        <v>3</v>
      </c>
      <c r="AP2" s="367" t="s">
        <v>107</v>
      </c>
      <c r="AQ2" s="204"/>
      <c r="AS2" s="368" t="s">
        <v>130</v>
      </c>
      <c r="AT2" s="204"/>
    </row>
    <row r="3" spans="1:46" ht="14.95" customHeight="1" thickBot="1" x14ac:dyDescent="0.35">
      <c r="A3" s="528">
        <v>44597</v>
      </c>
      <c r="B3" s="529" t="s">
        <v>46</v>
      </c>
      <c r="C3" s="529" t="s">
        <v>30</v>
      </c>
      <c r="D3" s="541" t="s">
        <v>117</v>
      </c>
      <c r="E3" s="530" t="s">
        <v>1</v>
      </c>
      <c r="F3" s="530">
        <v>20</v>
      </c>
      <c r="G3" s="530">
        <v>17</v>
      </c>
      <c r="H3" s="530">
        <v>0</v>
      </c>
      <c r="I3" s="530">
        <v>0</v>
      </c>
      <c r="J3" s="530">
        <v>2</v>
      </c>
      <c r="K3" s="530">
        <v>1</v>
      </c>
      <c r="L3" s="530">
        <v>0</v>
      </c>
      <c r="M3" s="530">
        <v>2</v>
      </c>
      <c r="N3" s="530">
        <v>0</v>
      </c>
      <c r="O3" s="530">
        <v>0</v>
      </c>
      <c r="P3" s="530">
        <v>0</v>
      </c>
      <c r="Q3" s="530">
        <v>0</v>
      </c>
      <c r="R3" s="530">
        <v>1</v>
      </c>
      <c r="S3" s="531">
        <v>67144</v>
      </c>
      <c r="T3" s="543" t="s">
        <v>265</v>
      </c>
      <c r="U3" s="533" t="s">
        <v>266</v>
      </c>
      <c r="V3" s="531" t="s">
        <v>267</v>
      </c>
      <c r="W3" s="534" t="s">
        <v>268</v>
      </c>
      <c r="X3" s="535" t="s">
        <v>269</v>
      </c>
      <c r="Y3" s="536">
        <v>1</v>
      </c>
      <c r="Z3" s="536">
        <v>1</v>
      </c>
      <c r="AA3" s="536">
        <v>0</v>
      </c>
      <c r="AB3" s="537">
        <v>0</v>
      </c>
      <c r="AC3" s="536">
        <v>1</v>
      </c>
      <c r="AD3" s="536">
        <v>1</v>
      </c>
      <c r="AE3" s="536">
        <v>0</v>
      </c>
      <c r="AF3" s="537">
        <v>0</v>
      </c>
      <c r="AG3" s="560">
        <v>0</v>
      </c>
      <c r="AH3" s="560">
        <v>0</v>
      </c>
      <c r="AI3" s="560">
        <v>0</v>
      </c>
      <c r="AJ3" s="560">
        <v>0</v>
      </c>
      <c r="AK3" s="560">
        <v>0</v>
      </c>
      <c r="AL3" s="560">
        <v>0</v>
      </c>
      <c r="AM3" s="560">
        <v>0</v>
      </c>
      <c r="AN3" s="560">
        <v>0</v>
      </c>
      <c r="AP3" s="386" t="s">
        <v>132</v>
      </c>
      <c r="AQ3" s="387">
        <f>Scotlandalltestshistplayed</f>
        <v>730</v>
      </c>
      <c r="AS3" s="386" t="s">
        <v>132</v>
      </c>
      <c r="AT3" s="387">
        <f>ScotlandRWChistplayed</f>
        <v>42</v>
      </c>
    </row>
    <row r="4" spans="1:46" ht="14.95" customHeight="1" thickBot="1" x14ac:dyDescent="0.3">
      <c r="A4" s="501">
        <v>44604</v>
      </c>
      <c r="B4" s="503" t="s">
        <v>46</v>
      </c>
      <c r="C4" s="503" t="s">
        <v>32</v>
      </c>
      <c r="D4" s="502" t="s">
        <v>112</v>
      </c>
      <c r="E4" s="504" t="s">
        <v>3</v>
      </c>
      <c r="F4" s="504">
        <v>17</v>
      </c>
      <c r="G4" s="504">
        <v>20</v>
      </c>
      <c r="H4" s="504">
        <v>0</v>
      </c>
      <c r="I4" s="504">
        <v>1</v>
      </c>
      <c r="J4" s="504">
        <v>1</v>
      </c>
      <c r="K4" s="504">
        <v>0</v>
      </c>
      <c r="L4" s="504">
        <v>0</v>
      </c>
      <c r="M4" s="504">
        <v>4</v>
      </c>
      <c r="N4" s="504">
        <v>1</v>
      </c>
      <c r="O4" s="504">
        <v>0</v>
      </c>
      <c r="P4" s="504">
        <v>0</v>
      </c>
      <c r="Q4" s="504">
        <v>0</v>
      </c>
      <c r="R4" s="504">
        <v>1</v>
      </c>
      <c r="S4" s="511">
        <v>73782</v>
      </c>
      <c r="T4" s="670" t="s">
        <v>303</v>
      </c>
      <c r="U4" s="513" t="s">
        <v>268</v>
      </c>
      <c r="V4" s="511" t="s">
        <v>283</v>
      </c>
      <c r="W4" s="506" t="s">
        <v>304</v>
      </c>
      <c r="X4" s="514" t="s">
        <v>305</v>
      </c>
      <c r="Y4" s="509">
        <v>1</v>
      </c>
      <c r="Z4" s="509">
        <v>0</v>
      </c>
      <c r="AA4" s="509">
        <v>0</v>
      </c>
      <c r="AB4" s="510">
        <v>1</v>
      </c>
      <c r="AC4" s="509">
        <v>0</v>
      </c>
      <c r="AD4" s="509">
        <v>0</v>
      </c>
      <c r="AE4" s="509">
        <v>0</v>
      </c>
      <c r="AF4" s="509">
        <v>0</v>
      </c>
      <c r="AG4" s="509">
        <v>1</v>
      </c>
      <c r="AH4" s="509">
        <v>0</v>
      </c>
      <c r="AI4" s="509">
        <v>0</v>
      </c>
      <c r="AJ4" s="510">
        <v>1</v>
      </c>
      <c r="AK4" s="509">
        <v>0</v>
      </c>
      <c r="AL4" s="509">
        <v>0</v>
      </c>
      <c r="AM4" s="509">
        <v>0</v>
      </c>
      <c r="AN4" s="509">
        <v>0</v>
      </c>
      <c r="AP4" s="388" t="s">
        <v>133</v>
      </c>
      <c r="AQ4" s="389">
        <f>Scotlandalltestshistwon</f>
        <v>318</v>
      </c>
      <c r="AS4" s="388" t="s">
        <v>133</v>
      </c>
      <c r="AT4" s="389">
        <f>ScotlandRWChistwon</f>
        <v>24</v>
      </c>
    </row>
    <row r="5" spans="1:46" ht="14.95" customHeight="1" thickBot="1" x14ac:dyDescent="0.3">
      <c r="A5" s="528">
        <v>44618</v>
      </c>
      <c r="B5" s="529" t="s">
        <v>46</v>
      </c>
      <c r="C5" s="529" t="s">
        <v>34</v>
      </c>
      <c r="D5" s="541" t="s">
        <v>117</v>
      </c>
      <c r="E5" s="530" t="s">
        <v>3</v>
      </c>
      <c r="F5" s="530">
        <v>17</v>
      </c>
      <c r="G5" s="530">
        <v>36</v>
      </c>
      <c r="H5" s="530">
        <v>0</v>
      </c>
      <c r="I5" s="530">
        <v>0</v>
      </c>
      <c r="J5" s="530">
        <v>2</v>
      </c>
      <c r="K5" s="530">
        <v>2</v>
      </c>
      <c r="L5" s="530">
        <v>0</v>
      </c>
      <c r="M5" s="530">
        <v>1</v>
      </c>
      <c r="N5" s="530">
        <v>0</v>
      </c>
      <c r="O5" s="530">
        <v>0</v>
      </c>
      <c r="P5" s="530">
        <v>1</v>
      </c>
      <c r="Q5" s="530">
        <v>0</v>
      </c>
      <c r="R5" s="530">
        <v>6</v>
      </c>
      <c r="S5" s="531">
        <v>67144</v>
      </c>
      <c r="T5" s="532" t="s">
        <v>321</v>
      </c>
      <c r="U5" s="533" t="s">
        <v>322</v>
      </c>
      <c r="V5" s="531" t="s">
        <v>323</v>
      </c>
      <c r="W5" s="533" t="s">
        <v>324</v>
      </c>
      <c r="X5" s="534" t="s">
        <v>305</v>
      </c>
      <c r="Y5" s="536">
        <v>1</v>
      </c>
      <c r="Z5" s="536">
        <v>0</v>
      </c>
      <c r="AA5" s="536">
        <v>0</v>
      </c>
      <c r="AB5" s="537">
        <v>1</v>
      </c>
      <c r="AC5" s="560">
        <v>1</v>
      </c>
      <c r="AD5" s="646">
        <v>0</v>
      </c>
      <c r="AE5" s="536">
        <v>0</v>
      </c>
      <c r="AF5" s="536">
        <v>1</v>
      </c>
      <c r="AG5" s="536">
        <v>0</v>
      </c>
      <c r="AH5" s="536">
        <v>0</v>
      </c>
      <c r="AI5" s="536">
        <v>0</v>
      </c>
      <c r="AJ5" s="537">
        <v>0</v>
      </c>
      <c r="AK5" s="536">
        <v>0</v>
      </c>
      <c r="AL5" s="536">
        <v>0</v>
      </c>
      <c r="AM5" s="536">
        <v>0</v>
      </c>
      <c r="AN5" s="536">
        <v>0</v>
      </c>
      <c r="AP5" s="388" t="s">
        <v>139</v>
      </c>
      <c r="AQ5" s="389">
        <f>Scotlandalltestshistdrawn</f>
        <v>33</v>
      </c>
      <c r="AS5" s="388" t="s">
        <v>139</v>
      </c>
      <c r="AT5" s="389">
        <f>ScotlandRWChistdrawn</f>
        <v>1</v>
      </c>
    </row>
    <row r="6" spans="1:46" ht="14.95" customHeight="1" thickBot="1" x14ac:dyDescent="0.35">
      <c r="A6" s="501">
        <v>44632</v>
      </c>
      <c r="B6" s="503" t="s">
        <v>46</v>
      </c>
      <c r="C6" s="503" t="s">
        <v>33</v>
      </c>
      <c r="D6" s="502" t="s">
        <v>114</v>
      </c>
      <c r="E6" s="504" t="s">
        <v>1</v>
      </c>
      <c r="F6" s="504">
        <v>33</v>
      </c>
      <c r="G6" s="504">
        <v>22</v>
      </c>
      <c r="H6" s="504">
        <v>1</v>
      </c>
      <c r="I6" s="504">
        <v>0</v>
      </c>
      <c r="J6" s="504">
        <v>5</v>
      </c>
      <c r="K6" s="504">
        <v>4</v>
      </c>
      <c r="L6" s="504">
        <v>0</v>
      </c>
      <c r="M6" s="504">
        <v>0</v>
      </c>
      <c r="N6" s="504">
        <v>0</v>
      </c>
      <c r="O6" s="504">
        <v>0</v>
      </c>
      <c r="P6" s="504">
        <v>0</v>
      </c>
      <c r="Q6" s="504">
        <v>0</v>
      </c>
      <c r="R6" s="504">
        <v>3</v>
      </c>
      <c r="S6" s="511">
        <v>41214</v>
      </c>
      <c r="T6" s="512" t="s">
        <v>325</v>
      </c>
      <c r="U6" s="513" t="s">
        <v>324</v>
      </c>
      <c r="V6" s="511" t="s">
        <v>259</v>
      </c>
      <c r="W6" s="506" t="s">
        <v>313</v>
      </c>
      <c r="X6" s="514" t="s">
        <v>269</v>
      </c>
      <c r="Y6" s="509">
        <v>1</v>
      </c>
      <c r="Z6" s="509">
        <v>1</v>
      </c>
      <c r="AA6" s="509">
        <v>0</v>
      </c>
      <c r="AB6" s="510">
        <v>0</v>
      </c>
      <c r="AC6" s="509">
        <v>1</v>
      </c>
      <c r="AD6" s="509">
        <v>1</v>
      </c>
      <c r="AE6" s="509">
        <v>0</v>
      </c>
      <c r="AF6" s="510">
        <v>0</v>
      </c>
      <c r="AG6" s="523">
        <v>0</v>
      </c>
      <c r="AH6" s="523">
        <v>0</v>
      </c>
      <c r="AI6" s="523">
        <v>0</v>
      </c>
      <c r="AJ6" s="523">
        <v>0</v>
      </c>
      <c r="AK6" s="509">
        <v>0</v>
      </c>
      <c r="AL6" s="509">
        <v>0</v>
      </c>
      <c r="AM6" s="509">
        <v>0</v>
      </c>
      <c r="AN6" s="509">
        <v>0</v>
      </c>
      <c r="AP6" s="388" t="s">
        <v>134</v>
      </c>
      <c r="AQ6" s="389">
        <f>Scotlandalltestshistlost</f>
        <v>379</v>
      </c>
      <c r="AS6" s="388" t="s">
        <v>134</v>
      </c>
      <c r="AT6" s="389">
        <f>ScotlandRWChistlost</f>
        <v>17</v>
      </c>
    </row>
    <row r="7" spans="1:46" ht="14.95" customHeight="1" thickBot="1" x14ac:dyDescent="0.3">
      <c r="A7" s="501">
        <v>44639</v>
      </c>
      <c r="B7" s="503" t="s">
        <v>46</v>
      </c>
      <c r="C7" s="503" t="s">
        <v>39</v>
      </c>
      <c r="D7" s="502" t="s">
        <v>115</v>
      </c>
      <c r="E7" s="504" t="s">
        <v>3</v>
      </c>
      <c r="F7" s="504">
        <v>5</v>
      </c>
      <c r="G7" s="504">
        <v>26</v>
      </c>
      <c r="H7" s="504">
        <v>0</v>
      </c>
      <c r="I7" s="504">
        <v>0</v>
      </c>
      <c r="J7" s="504">
        <v>1</v>
      </c>
      <c r="K7" s="504">
        <v>0</v>
      </c>
      <c r="L7" s="504">
        <v>0</v>
      </c>
      <c r="M7" s="504">
        <v>0</v>
      </c>
      <c r="N7" s="504">
        <v>1</v>
      </c>
      <c r="O7" s="504">
        <v>0</v>
      </c>
      <c r="P7" s="504">
        <v>1</v>
      </c>
      <c r="Q7" s="504">
        <v>0</v>
      </c>
      <c r="R7" s="504">
        <v>4</v>
      </c>
      <c r="S7" s="511">
        <v>51000</v>
      </c>
      <c r="T7" s="515" t="s">
        <v>389</v>
      </c>
      <c r="U7" s="513" t="s">
        <v>304</v>
      </c>
      <c r="V7" s="511" t="s">
        <v>259</v>
      </c>
      <c r="W7" s="506" t="s">
        <v>322</v>
      </c>
      <c r="X7" s="514" t="s">
        <v>340</v>
      </c>
      <c r="Y7" s="509">
        <v>1</v>
      </c>
      <c r="Z7" s="509">
        <v>0</v>
      </c>
      <c r="AA7" s="509">
        <v>0</v>
      </c>
      <c r="AB7" s="510">
        <v>1</v>
      </c>
      <c r="AC7" s="509">
        <v>0</v>
      </c>
      <c r="AD7" s="509">
        <v>0</v>
      </c>
      <c r="AE7" s="509">
        <v>0</v>
      </c>
      <c r="AF7" s="509">
        <v>0</v>
      </c>
      <c r="AG7" s="509">
        <v>1</v>
      </c>
      <c r="AH7" s="509">
        <v>0</v>
      </c>
      <c r="AI7" s="509">
        <v>0</v>
      </c>
      <c r="AJ7" s="510">
        <v>1</v>
      </c>
      <c r="AK7" s="509">
        <v>0</v>
      </c>
      <c r="AL7" s="509">
        <v>0</v>
      </c>
      <c r="AM7" s="509">
        <v>0</v>
      </c>
      <c r="AN7" s="509">
        <v>0</v>
      </c>
      <c r="AP7" s="388" t="s">
        <v>140</v>
      </c>
      <c r="AQ7" s="389">
        <f>Scotlandalltestshistptsscored</f>
        <v>10656</v>
      </c>
      <c r="AS7" s="388" t="s">
        <v>140</v>
      </c>
      <c r="AT7" s="389">
        <f>ScotlandRWChistptsscored</f>
        <v>1261</v>
      </c>
    </row>
    <row r="8" spans="1:46" ht="14.95" customHeight="1" thickBot="1" x14ac:dyDescent="0.3">
      <c r="A8" s="501">
        <v>44744</v>
      </c>
      <c r="B8" s="503" t="s">
        <v>45</v>
      </c>
      <c r="C8" s="503" t="s">
        <v>37</v>
      </c>
      <c r="D8" s="502" t="s">
        <v>235</v>
      </c>
      <c r="E8" s="504" t="s">
        <v>3</v>
      </c>
      <c r="F8" s="504">
        <v>18</v>
      </c>
      <c r="G8" s="504">
        <v>26</v>
      </c>
      <c r="H8" s="504" t="s">
        <v>106</v>
      </c>
      <c r="I8" s="504" t="s">
        <v>106</v>
      </c>
      <c r="J8" s="504">
        <v>2</v>
      </c>
      <c r="K8" s="504">
        <v>1</v>
      </c>
      <c r="L8" s="504">
        <v>0</v>
      </c>
      <c r="M8" s="504">
        <v>2</v>
      </c>
      <c r="N8" s="504">
        <v>0</v>
      </c>
      <c r="O8" s="504">
        <v>0</v>
      </c>
      <c r="P8" s="504" t="s">
        <v>106</v>
      </c>
      <c r="Q8" s="504" t="s">
        <v>106</v>
      </c>
      <c r="R8" s="504">
        <v>3</v>
      </c>
      <c r="S8" s="511">
        <v>21630</v>
      </c>
      <c r="T8" s="515" t="s">
        <v>392</v>
      </c>
      <c r="U8" s="513" t="s">
        <v>268</v>
      </c>
      <c r="V8" s="511" t="s">
        <v>368</v>
      </c>
      <c r="W8" s="511" t="s">
        <v>260</v>
      </c>
      <c r="X8" s="514" t="s">
        <v>314</v>
      </c>
      <c r="Y8" s="509">
        <v>1</v>
      </c>
      <c r="Z8" s="509">
        <v>0</v>
      </c>
      <c r="AA8" s="509">
        <v>0</v>
      </c>
      <c r="AB8" s="510">
        <v>1</v>
      </c>
      <c r="AC8" s="509">
        <v>0</v>
      </c>
      <c r="AD8" s="509">
        <v>0</v>
      </c>
      <c r="AE8" s="509">
        <v>0</v>
      </c>
      <c r="AF8" s="510">
        <v>0</v>
      </c>
      <c r="AG8" s="509">
        <v>1</v>
      </c>
      <c r="AH8" s="509">
        <v>0</v>
      </c>
      <c r="AI8" s="509">
        <v>0</v>
      </c>
      <c r="AJ8" s="510">
        <v>1</v>
      </c>
      <c r="AK8" s="509">
        <v>0</v>
      </c>
      <c r="AL8" s="509">
        <v>0</v>
      </c>
      <c r="AM8" s="509">
        <v>0</v>
      </c>
      <c r="AN8" s="510">
        <v>0</v>
      </c>
      <c r="AP8" s="388" t="s">
        <v>141</v>
      </c>
      <c r="AQ8" s="389">
        <f>Scotlandalltestshistptscon</f>
        <v>11188</v>
      </c>
      <c r="AS8" s="388" t="s">
        <v>141</v>
      </c>
      <c r="AT8" s="389">
        <f>ScotlandRWChistptscon</f>
        <v>803</v>
      </c>
    </row>
    <row r="9" spans="1:46" ht="14.95" customHeight="1" thickBot="1" x14ac:dyDescent="0.35">
      <c r="A9" s="501">
        <v>44751</v>
      </c>
      <c r="B9" s="503" t="s">
        <v>45</v>
      </c>
      <c r="C9" s="503" t="s">
        <v>37</v>
      </c>
      <c r="D9" s="502" t="s">
        <v>239</v>
      </c>
      <c r="E9" s="504" t="s">
        <v>1</v>
      </c>
      <c r="F9" s="504">
        <v>29</v>
      </c>
      <c r="G9" s="504">
        <v>6</v>
      </c>
      <c r="H9" s="504" t="s">
        <v>106</v>
      </c>
      <c r="I9" s="504" t="s">
        <v>106</v>
      </c>
      <c r="J9" s="504">
        <v>4</v>
      </c>
      <c r="K9" s="504">
        <v>3</v>
      </c>
      <c r="L9" s="504">
        <v>0</v>
      </c>
      <c r="M9" s="504">
        <v>1</v>
      </c>
      <c r="N9" s="504">
        <v>0</v>
      </c>
      <c r="O9" s="504">
        <v>0</v>
      </c>
      <c r="P9" s="504" t="s">
        <v>106</v>
      </c>
      <c r="Q9" s="504" t="s">
        <v>106</v>
      </c>
      <c r="R9" s="504">
        <v>0</v>
      </c>
      <c r="S9" s="511">
        <v>20900</v>
      </c>
      <c r="T9" s="512" t="s">
        <v>573</v>
      </c>
      <c r="U9" s="513" t="s">
        <v>260</v>
      </c>
      <c r="V9" s="511" t="s">
        <v>312</v>
      </c>
      <c r="W9" s="511" t="s">
        <v>266</v>
      </c>
      <c r="X9" s="514" t="s">
        <v>314</v>
      </c>
      <c r="Y9" s="509">
        <v>1</v>
      </c>
      <c r="Z9" s="509">
        <v>1</v>
      </c>
      <c r="AA9" s="509">
        <v>0</v>
      </c>
      <c r="AB9" s="510">
        <v>0</v>
      </c>
      <c r="AC9" s="509">
        <v>0</v>
      </c>
      <c r="AD9" s="509">
        <v>0</v>
      </c>
      <c r="AE9" s="509">
        <v>0</v>
      </c>
      <c r="AF9" s="510">
        <v>0</v>
      </c>
      <c r="AG9" s="509">
        <v>1</v>
      </c>
      <c r="AH9" s="509">
        <v>1</v>
      </c>
      <c r="AI9" s="509">
        <v>0</v>
      </c>
      <c r="AJ9" s="510">
        <v>0</v>
      </c>
      <c r="AK9" s="509">
        <v>0</v>
      </c>
      <c r="AL9" s="509">
        <v>0</v>
      </c>
      <c r="AM9" s="509">
        <v>0</v>
      </c>
      <c r="AN9" s="510">
        <v>0</v>
      </c>
      <c r="AP9" s="388" t="s">
        <v>131</v>
      </c>
      <c r="AQ9" s="389">
        <f>Scotlandalltestshisttriesscored</f>
        <v>1361</v>
      </c>
      <c r="AS9" s="388" t="s">
        <v>131</v>
      </c>
      <c r="AT9" s="389">
        <f>ScotlandRWChisttriesscored</f>
        <v>146</v>
      </c>
    </row>
    <row r="10" spans="1:46" ht="14.95" customHeight="1" thickBot="1" x14ac:dyDescent="0.35">
      <c r="A10" s="501">
        <v>44758</v>
      </c>
      <c r="B10" s="503" t="s">
        <v>45</v>
      </c>
      <c r="C10" s="503" t="s">
        <v>37</v>
      </c>
      <c r="D10" s="502" t="s">
        <v>241</v>
      </c>
      <c r="E10" s="504" t="s">
        <v>3</v>
      </c>
      <c r="F10" s="504">
        <v>31</v>
      </c>
      <c r="G10" s="504">
        <v>34</v>
      </c>
      <c r="H10" s="504" t="s">
        <v>106</v>
      </c>
      <c r="I10" s="504" t="s">
        <v>106</v>
      </c>
      <c r="J10" s="504">
        <v>4</v>
      </c>
      <c r="K10" s="504">
        <v>4</v>
      </c>
      <c r="L10" s="504">
        <v>0</v>
      </c>
      <c r="M10" s="504">
        <v>1</v>
      </c>
      <c r="N10" s="504">
        <v>0</v>
      </c>
      <c r="O10" s="504">
        <v>0</v>
      </c>
      <c r="P10" s="504" t="s">
        <v>106</v>
      </c>
      <c r="Q10" s="504" t="s">
        <v>106</v>
      </c>
      <c r="R10" s="504">
        <v>4</v>
      </c>
      <c r="S10" s="511">
        <v>30000</v>
      </c>
      <c r="T10" s="686" t="s">
        <v>629</v>
      </c>
      <c r="U10" s="513" t="s">
        <v>266</v>
      </c>
      <c r="V10" s="511" t="s">
        <v>312</v>
      </c>
      <c r="W10" s="511" t="s">
        <v>260</v>
      </c>
      <c r="X10" s="514" t="s">
        <v>385</v>
      </c>
      <c r="Y10" s="509">
        <v>1</v>
      </c>
      <c r="Z10" s="509">
        <v>0</v>
      </c>
      <c r="AA10" s="509">
        <v>0</v>
      </c>
      <c r="AB10" s="510">
        <v>1</v>
      </c>
      <c r="AC10" s="509">
        <v>0</v>
      </c>
      <c r="AD10" s="509">
        <v>0</v>
      </c>
      <c r="AE10" s="509">
        <v>0</v>
      </c>
      <c r="AF10" s="510">
        <v>0</v>
      </c>
      <c r="AG10" s="509">
        <v>1</v>
      </c>
      <c r="AH10" s="509">
        <v>0</v>
      </c>
      <c r="AI10" s="509">
        <v>0</v>
      </c>
      <c r="AJ10" s="510">
        <v>1</v>
      </c>
      <c r="AK10" s="509">
        <v>0</v>
      </c>
      <c r="AL10" s="509">
        <v>0</v>
      </c>
      <c r="AM10" s="509">
        <v>0</v>
      </c>
      <c r="AN10" s="510">
        <v>0</v>
      </c>
    </row>
    <row r="11" spans="1:46" ht="15.8" customHeight="1" thickBot="1" x14ac:dyDescent="0.3">
      <c r="A11" s="528">
        <v>44863</v>
      </c>
      <c r="B11" s="529" t="s">
        <v>748</v>
      </c>
      <c r="C11" s="529" t="s">
        <v>29</v>
      </c>
      <c r="D11" s="541" t="s">
        <v>117</v>
      </c>
      <c r="E11" s="530" t="s">
        <v>3</v>
      </c>
      <c r="F11" s="530">
        <v>15</v>
      </c>
      <c r="G11" s="530">
        <v>16</v>
      </c>
      <c r="H11" s="530" t="s">
        <v>106</v>
      </c>
      <c r="I11" s="530" t="s">
        <v>106</v>
      </c>
      <c r="J11" s="530">
        <v>2</v>
      </c>
      <c r="K11" s="530">
        <v>1</v>
      </c>
      <c r="L11" s="530">
        <v>0</v>
      </c>
      <c r="M11" s="530">
        <v>1</v>
      </c>
      <c r="N11" s="530">
        <v>1</v>
      </c>
      <c r="O11" s="530">
        <v>0</v>
      </c>
      <c r="P11" s="530" t="s">
        <v>106</v>
      </c>
      <c r="Q11" s="530" t="s">
        <v>106</v>
      </c>
      <c r="R11" s="530">
        <v>1</v>
      </c>
      <c r="S11" s="531">
        <v>65286</v>
      </c>
      <c r="T11" s="532" t="s">
        <v>764</v>
      </c>
      <c r="U11" s="533" t="s">
        <v>324</v>
      </c>
      <c r="V11" s="531" t="s">
        <v>259</v>
      </c>
      <c r="W11" s="531" t="s">
        <v>322</v>
      </c>
      <c r="X11" s="535" t="s">
        <v>340</v>
      </c>
      <c r="Y11" s="536">
        <v>1</v>
      </c>
      <c r="Z11" s="536">
        <v>0</v>
      </c>
      <c r="AA11" s="536">
        <v>0</v>
      </c>
      <c r="AB11" s="537">
        <v>1</v>
      </c>
      <c r="AC11" s="536">
        <v>1</v>
      </c>
      <c r="AD11" s="536">
        <v>0</v>
      </c>
      <c r="AE11" s="536">
        <v>0</v>
      </c>
      <c r="AF11" s="537">
        <v>1</v>
      </c>
      <c r="AG11" s="536">
        <v>0</v>
      </c>
      <c r="AH11" s="536">
        <v>0</v>
      </c>
      <c r="AI11" s="536">
        <v>0</v>
      </c>
      <c r="AJ11" s="537">
        <v>0</v>
      </c>
      <c r="AK11" s="536">
        <v>0</v>
      </c>
      <c r="AL11" s="536">
        <v>0</v>
      </c>
      <c r="AM11" s="536">
        <v>0</v>
      </c>
      <c r="AN11" s="537">
        <v>0</v>
      </c>
    </row>
    <row r="12" spans="1:46" ht="15.8" customHeight="1" thickBot="1" x14ac:dyDescent="0.35">
      <c r="A12" s="528">
        <v>44870</v>
      </c>
      <c r="B12" s="529" t="s">
        <v>721</v>
      </c>
      <c r="C12" s="529" t="s">
        <v>31</v>
      </c>
      <c r="D12" s="541" t="s">
        <v>117</v>
      </c>
      <c r="E12" s="530" t="s">
        <v>1</v>
      </c>
      <c r="F12" s="530">
        <v>28</v>
      </c>
      <c r="G12" s="530">
        <v>12</v>
      </c>
      <c r="H12" s="530" t="s">
        <v>106</v>
      </c>
      <c r="I12" s="530" t="s">
        <v>106</v>
      </c>
      <c r="J12" s="530">
        <v>4</v>
      </c>
      <c r="K12" s="530">
        <v>4</v>
      </c>
      <c r="L12" s="530">
        <v>0</v>
      </c>
      <c r="M12" s="530">
        <v>0</v>
      </c>
      <c r="N12" s="530">
        <v>2</v>
      </c>
      <c r="O12" s="530">
        <v>0</v>
      </c>
      <c r="P12" s="530" t="s">
        <v>106</v>
      </c>
      <c r="Q12" s="530" t="s">
        <v>106</v>
      </c>
      <c r="R12" s="530">
        <v>2</v>
      </c>
      <c r="S12" s="531">
        <v>58046</v>
      </c>
      <c r="T12" s="543" t="s">
        <v>786</v>
      </c>
      <c r="U12" s="533" t="s">
        <v>268</v>
      </c>
      <c r="V12" s="531" t="s">
        <v>283</v>
      </c>
      <c r="W12" s="531" t="s">
        <v>510</v>
      </c>
      <c r="X12" s="531" t="s">
        <v>314</v>
      </c>
      <c r="Y12" s="536">
        <v>1</v>
      </c>
      <c r="Z12" s="536">
        <v>1</v>
      </c>
      <c r="AA12" s="536">
        <v>0</v>
      </c>
      <c r="AB12" s="537">
        <v>0</v>
      </c>
      <c r="AC12" s="536">
        <v>1</v>
      </c>
      <c r="AD12" s="536">
        <v>1</v>
      </c>
      <c r="AE12" s="536">
        <v>0</v>
      </c>
      <c r="AF12" s="537">
        <v>0</v>
      </c>
      <c r="AG12" s="536">
        <v>0</v>
      </c>
      <c r="AH12" s="536">
        <v>0</v>
      </c>
      <c r="AI12" s="536">
        <v>0</v>
      </c>
      <c r="AJ12" s="537">
        <v>0</v>
      </c>
      <c r="AK12" s="536">
        <v>0</v>
      </c>
      <c r="AL12" s="536">
        <v>0</v>
      </c>
      <c r="AM12" s="536">
        <v>0</v>
      </c>
      <c r="AN12" s="537">
        <v>0</v>
      </c>
    </row>
    <row r="13" spans="1:46" ht="17" thickBot="1" x14ac:dyDescent="0.35">
      <c r="A13" s="528">
        <v>44878</v>
      </c>
      <c r="B13" s="529" t="s">
        <v>721</v>
      </c>
      <c r="C13" s="529" t="s">
        <v>118</v>
      </c>
      <c r="D13" s="541" t="s">
        <v>117</v>
      </c>
      <c r="E13" s="530" t="s">
        <v>3</v>
      </c>
      <c r="F13" s="530">
        <v>23</v>
      </c>
      <c r="G13" s="530">
        <v>31</v>
      </c>
      <c r="H13" s="530" t="s">
        <v>106</v>
      </c>
      <c r="I13" s="530" t="s">
        <v>106</v>
      </c>
      <c r="J13" s="530">
        <v>2</v>
      </c>
      <c r="K13" s="530">
        <v>1</v>
      </c>
      <c r="L13" s="530">
        <v>0</v>
      </c>
      <c r="M13" s="530">
        <v>3</v>
      </c>
      <c r="N13" s="530">
        <v>1</v>
      </c>
      <c r="O13" s="530">
        <v>0</v>
      </c>
      <c r="P13" s="530" t="s">
        <v>106</v>
      </c>
      <c r="Q13" s="530" t="s">
        <v>106</v>
      </c>
      <c r="R13" s="530">
        <v>4</v>
      </c>
      <c r="S13" s="531">
        <v>67144</v>
      </c>
      <c r="T13" s="559" t="s">
        <v>825</v>
      </c>
      <c r="U13" s="533" t="s">
        <v>299</v>
      </c>
      <c r="V13" s="531" t="s">
        <v>323</v>
      </c>
      <c r="W13" s="531" t="s">
        <v>313</v>
      </c>
      <c r="X13" s="540" t="s">
        <v>305</v>
      </c>
      <c r="Y13" s="536">
        <v>1</v>
      </c>
      <c r="Z13" s="536">
        <v>0</v>
      </c>
      <c r="AA13" s="536">
        <v>0</v>
      </c>
      <c r="AB13" s="537">
        <v>1</v>
      </c>
      <c r="AC13" s="536">
        <v>1</v>
      </c>
      <c r="AD13" s="536">
        <v>0</v>
      </c>
      <c r="AE13" s="536">
        <v>0</v>
      </c>
      <c r="AF13" s="537">
        <v>1</v>
      </c>
      <c r="AG13" s="536">
        <v>0</v>
      </c>
      <c r="AH13" s="536">
        <v>0</v>
      </c>
      <c r="AI13" s="536">
        <v>0</v>
      </c>
      <c r="AJ13" s="537">
        <v>0</v>
      </c>
      <c r="AK13" s="536">
        <v>0</v>
      </c>
      <c r="AL13" s="536">
        <v>0</v>
      </c>
      <c r="AM13" s="536">
        <v>0</v>
      </c>
      <c r="AN13" s="537">
        <v>0</v>
      </c>
    </row>
    <row r="14" spans="1:46" ht="14.95" customHeight="1" thickBot="1" x14ac:dyDescent="0.35">
      <c r="A14" s="528">
        <v>44884</v>
      </c>
      <c r="B14" s="529" t="s">
        <v>721</v>
      </c>
      <c r="C14" s="529" t="s">
        <v>37</v>
      </c>
      <c r="D14" s="541" t="s">
        <v>117</v>
      </c>
      <c r="E14" s="530" t="s">
        <v>1</v>
      </c>
      <c r="F14" s="530">
        <v>52</v>
      </c>
      <c r="G14" s="530">
        <v>29</v>
      </c>
      <c r="H14" s="530" t="s">
        <v>106</v>
      </c>
      <c r="I14" s="530" t="s">
        <v>106</v>
      </c>
      <c r="J14" s="530">
        <v>8</v>
      </c>
      <c r="K14" s="530">
        <v>6</v>
      </c>
      <c r="L14" s="530">
        <v>0</v>
      </c>
      <c r="M14" s="530">
        <v>0</v>
      </c>
      <c r="N14" s="530">
        <v>2</v>
      </c>
      <c r="O14" s="530">
        <v>0</v>
      </c>
      <c r="P14" s="530" t="s">
        <v>106</v>
      </c>
      <c r="Q14" s="530" t="s">
        <v>106</v>
      </c>
      <c r="R14" s="530">
        <v>4</v>
      </c>
      <c r="S14" s="531">
        <v>61811</v>
      </c>
      <c r="T14" s="554" t="s">
        <v>837</v>
      </c>
      <c r="U14" s="534" t="s">
        <v>322</v>
      </c>
      <c r="V14" s="534" t="s">
        <v>283</v>
      </c>
      <c r="W14" s="534" t="s">
        <v>324</v>
      </c>
      <c r="X14" s="535" t="s">
        <v>497</v>
      </c>
      <c r="Y14" s="536">
        <v>1</v>
      </c>
      <c r="Z14" s="536">
        <v>1</v>
      </c>
      <c r="AA14" s="536">
        <v>0</v>
      </c>
      <c r="AB14" s="537">
        <v>0</v>
      </c>
      <c r="AC14" s="536">
        <v>1</v>
      </c>
      <c r="AD14" s="536">
        <v>1</v>
      </c>
      <c r="AE14" s="536">
        <v>0</v>
      </c>
      <c r="AF14" s="537">
        <v>0</v>
      </c>
      <c r="AG14" s="536">
        <v>0</v>
      </c>
      <c r="AH14" s="536">
        <v>0</v>
      </c>
      <c r="AI14" s="536">
        <v>0</v>
      </c>
      <c r="AJ14" s="537">
        <v>0</v>
      </c>
      <c r="AK14" s="536">
        <v>0</v>
      </c>
      <c r="AL14" s="536">
        <v>0</v>
      </c>
      <c r="AM14" s="536">
        <v>0</v>
      </c>
      <c r="AN14" s="537">
        <v>0</v>
      </c>
      <c r="AO14" s="310"/>
    </row>
    <row r="15" spans="1:46" ht="14.95" thickBot="1" x14ac:dyDescent="0.3">
      <c r="A15" s="310"/>
      <c r="B15" s="311"/>
      <c r="C15" s="806" t="s">
        <v>108</v>
      </c>
      <c r="D15" s="807"/>
      <c r="E15" s="808"/>
      <c r="F15" s="309">
        <f>SUM(F3:F7)</f>
        <v>92</v>
      </c>
      <c r="G15" s="309">
        <f t="shared" ref="G15:R15" si="0">SUM(G3:G7)</f>
        <v>121</v>
      </c>
      <c r="H15" s="309">
        <f t="shared" si="0"/>
        <v>1</v>
      </c>
      <c r="I15" s="309">
        <f t="shared" si="0"/>
        <v>1</v>
      </c>
      <c r="J15" s="309">
        <f t="shared" si="0"/>
        <v>11</v>
      </c>
      <c r="K15" s="309">
        <f t="shared" si="0"/>
        <v>7</v>
      </c>
      <c r="L15" s="309">
        <f t="shared" si="0"/>
        <v>0</v>
      </c>
      <c r="M15" s="309">
        <f t="shared" si="0"/>
        <v>7</v>
      </c>
      <c r="N15" s="309">
        <f t="shared" si="0"/>
        <v>2</v>
      </c>
      <c r="O15" s="309">
        <f t="shared" si="0"/>
        <v>0</v>
      </c>
      <c r="P15" s="309">
        <f t="shared" si="0"/>
        <v>2</v>
      </c>
      <c r="Q15" s="309">
        <f t="shared" si="0"/>
        <v>0</v>
      </c>
      <c r="R15" s="309">
        <f t="shared" si="0"/>
        <v>15</v>
      </c>
      <c r="W15" s="306"/>
      <c r="X15" s="452" t="s">
        <v>108</v>
      </c>
      <c r="Y15" s="309">
        <f t="shared" ref="Y15:AN15" si="1">SUM(Y3:Y7)</f>
        <v>5</v>
      </c>
      <c r="Z15" s="309">
        <f t="shared" si="1"/>
        <v>2</v>
      </c>
      <c r="AA15" s="309">
        <f t="shared" si="1"/>
        <v>0</v>
      </c>
      <c r="AB15" s="309">
        <f t="shared" si="1"/>
        <v>3</v>
      </c>
      <c r="AC15" s="307">
        <f t="shared" si="1"/>
        <v>3</v>
      </c>
      <c r="AD15" s="307">
        <f t="shared" si="1"/>
        <v>2</v>
      </c>
      <c r="AE15" s="307">
        <f t="shared" si="1"/>
        <v>0</v>
      </c>
      <c r="AF15" s="307">
        <f t="shared" si="1"/>
        <v>1</v>
      </c>
      <c r="AG15" s="308">
        <f t="shared" si="1"/>
        <v>2</v>
      </c>
      <c r="AH15" s="308">
        <f t="shared" si="1"/>
        <v>0</v>
      </c>
      <c r="AI15" s="308">
        <f t="shared" si="1"/>
        <v>0</v>
      </c>
      <c r="AJ15" s="308">
        <f t="shared" si="1"/>
        <v>2</v>
      </c>
      <c r="AK15" s="309">
        <f t="shared" si="1"/>
        <v>0</v>
      </c>
      <c r="AL15" s="309">
        <f t="shared" si="1"/>
        <v>0</v>
      </c>
      <c r="AM15" s="309">
        <f t="shared" si="1"/>
        <v>0</v>
      </c>
      <c r="AN15" s="309">
        <f t="shared" si="1"/>
        <v>0</v>
      </c>
    </row>
    <row r="16" spans="1:46" ht="14.95" thickBot="1" x14ac:dyDescent="0.3">
      <c r="A16" s="310"/>
      <c r="B16" s="311"/>
      <c r="C16" s="771" t="s">
        <v>173</v>
      </c>
      <c r="D16" s="801"/>
      <c r="E16" s="802"/>
      <c r="F16" s="602">
        <f>SUM(F8:F14)</f>
        <v>196</v>
      </c>
      <c r="G16" s="602">
        <f>SUM(G8:G14)</f>
        <v>154</v>
      </c>
      <c r="H16" s="602" t="s">
        <v>106</v>
      </c>
      <c r="I16" s="602" t="s">
        <v>106</v>
      </c>
      <c r="J16" s="602">
        <f t="shared" ref="J16:O16" si="2">SUM(J8:J14)</f>
        <v>26</v>
      </c>
      <c r="K16" s="602">
        <f t="shared" si="2"/>
        <v>20</v>
      </c>
      <c r="L16" s="602">
        <f t="shared" si="2"/>
        <v>0</v>
      </c>
      <c r="M16" s="602">
        <f t="shared" si="2"/>
        <v>8</v>
      </c>
      <c r="N16" s="602">
        <f t="shared" si="2"/>
        <v>6</v>
      </c>
      <c r="O16" s="602">
        <f t="shared" si="2"/>
        <v>0</v>
      </c>
      <c r="P16" s="602" t="s">
        <v>106</v>
      </c>
      <c r="Q16" s="602" t="s">
        <v>106</v>
      </c>
      <c r="R16" s="602">
        <f>SUM(R8:R14)</f>
        <v>18</v>
      </c>
      <c r="S16" s="618"/>
      <c r="T16" s="618"/>
      <c r="U16" s="618"/>
      <c r="V16" s="618"/>
      <c r="W16" s="600"/>
      <c r="X16" s="609" t="s">
        <v>173</v>
      </c>
      <c r="Y16" s="602">
        <f t="shared" ref="Y16:AN16" si="3">SUM(Y8:Y14)</f>
        <v>7</v>
      </c>
      <c r="Z16" s="602">
        <f t="shared" si="3"/>
        <v>3</v>
      </c>
      <c r="AA16" s="602">
        <f t="shared" si="3"/>
        <v>0</v>
      </c>
      <c r="AB16" s="602">
        <f t="shared" si="3"/>
        <v>4</v>
      </c>
      <c r="AC16" s="603">
        <f t="shared" si="3"/>
        <v>4</v>
      </c>
      <c r="AD16" s="603">
        <f t="shared" si="3"/>
        <v>2</v>
      </c>
      <c r="AE16" s="603">
        <f t="shared" si="3"/>
        <v>0</v>
      </c>
      <c r="AF16" s="603">
        <f t="shared" si="3"/>
        <v>2</v>
      </c>
      <c r="AG16" s="604">
        <f t="shared" si="3"/>
        <v>3</v>
      </c>
      <c r="AH16" s="604">
        <f t="shared" si="3"/>
        <v>1</v>
      </c>
      <c r="AI16" s="604">
        <f t="shared" si="3"/>
        <v>0</v>
      </c>
      <c r="AJ16" s="604">
        <f t="shared" si="3"/>
        <v>2</v>
      </c>
      <c r="AK16" s="602">
        <f t="shared" si="3"/>
        <v>0</v>
      </c>
      <c r="AL16" s="602">
        <f t="shared" si="3"/>
        <v>0</v>
      </c>
      <c r="AM16" s="602">
        <f t="shared" si="3"/>
        <v>0</v>
      </c>
      <c r="AN16" s="602">
        <f t="shared" si="3"/>
        <v>0</v>
      </c>
    </row>
    <row r="17" spans="1:40" ht="14.95" thickBot="1" x14ac:dyDescent="0.3">
      <c r="A17" s="310"/>
      <c r="B17" s="311"/>
      <c r="C17" s="760" t="s">
        <v>107</v>
      </c>
      <c r="D17" s="761"/>
      <c r="E17" s="762"/>
      <c r="F17" s="422">
        <f>SUM(F3:F14)</f>
        <v>288</v>
      </c>
      <c r="G17" s="422">
        <f>SUM(G3:G14)</f>
        <v>275</v>
      </c>
      <c r="H17" s="422">
        <f>H15</f>
        <v>1</v>
      </c>
      <c r="I17" s="422">
        <f>I15</f>
        <v>1</v>
      </c>
      <c r="J17" s="422">
        <f t="shared" ref="J17:O17" si="4">SUM(J3:J14)</f>
        <v>37</v>
      </c>
      <c r="K17" s="422">
        <f t="shared" si="4"/>
        <v>27</v>
      </c>
      <c r="L17" s="422">
        <f t="shared" si="4"/>
        <v>0</v>
      </c>
      <c r="M17" s="422">
        <f t="shared" si="4"/>
        <v>15</v>
      </c>
      <c r="N17" s="422">
        <f t="shared" si="4"/>
        <v>8</v>
      </c>
      <c r="O17" s="422">
        <f t="shared" si="4"/>
        <v>0</v>
      </c>
      <c r="P17" s="422">
        <f t="shared" ref="P17:Q17" si="5">P15</f>
        <v>2</v>
      </c>
      <c r="Q17" s="422">
        <f t="shared" si="5"/>
        <v>0</v>
      </c>
      <c r="R17" s="422">
        <f>SUM(R3:R14)</f>
        <v>33</v>
      </c>
      <c r="S17" s="419"/>
      <c r="T17" s="419"/>
      <c r="U17" s="419"/>
      <c r="V17" s="419"/>
      <c r="W17" s="13"/>
      <c r="X17" s="447" t="s">
        <v>107</v>
      </c>
      <c r="Y17" s="422">
        <f t="shared" ref="Y17:AN17" si="6">SUM(Y3:Y14)</f>
        <v>12</v>
      </c>
      <c r="Z17" s="422">
        <f t="shared" si="6"/>
        <v>5</v>
      </c>
      <c r="AA17" s="422">
        <f t="shared" si="6"/>
        <v>0</v>
      </c>
      <c r="AB17" s="422">
        <f t="shared" si="6"/>
        <v>7</v>
      </c>
      <c r="AC17" s="420">
        <f t="shared" si="6"/>
        <v>7</v>
      </c>
      <c r="AD17" s="420">
        <f t="shared" si="6"/>
        <v>4</v>
      </c>
      <c r="AE17" s="420">
        <f t="shared" si="6"/>
        <v>0</v>
      </c>
      <c r="AF17" s="420">
        <f t="shared" si="6"/>
        <v>3</v>
      </c>
      <c r="AG17" s="421">
        <f t="shared" si="6"/>
        <v>5</v>
      </c>
      <c r="AH17" s="421">
        <f t="shared" si="6"/>
        <v>1</v>
      </c>
      <c r="AI17" s="421">
        <f t="shared" si="6"/>
        <v>0</v>
      </c>
      <c r="AJ17" s="421">
        <f t="shared" si="6"/>
        <v>4</v>
      </c>
      <c r="AK17" s="422">
        <f t="shared" si="6"/>
        <v>0</v>
      </c>
      <c r="AL17" s="422">
        <f t="shared" si="6"/>
        <v>0</v>
      </c>
      <c r="AM17" s="422">
        <f t="shared" si="6"/>
        <v>0</v>
      </c>
      <c r="AN17" s="422">
        <f t="shared" si="6"/>
        <v>0</v>
      </c>
    </row>
    <row r="18" spans="1:40" x14ac:dyDescent="0.25">
      <c r="A18" s="788" t="s">
        <v>757</v>
      </c>
      <c r="B18" s="743"/>
      <c r="C18" s="743"/>
      <c r="D18" s="743"/>
      <c r="E18" s="743"/>
      <c r="F18" s="743"/>
      <c r="G18" s="743"/>
      <c r="H18" s="743"/>
      <c r="I18" s="743"/>
      <c r="J18" s="743"/>
      <c r="K18" s="743"/>
      <c r="L18" s="743"/>
      <c r="M18" s="743"/>
      <c r="N18" s="743"/>
      <c r="O18" s="743"/>
      <c r="P18" s="743"/>
      <c r="Q18" s="743"/>
      <c r="R18" s="743"/>
    </row>
    <row r="19" spans="1:40" x14ac:dyDescent="0.25">
      <c r="A19" s="632" t="s">
        <v>222</v>
      </c>
    </row>
    <row r="20" spans="1:40" x14ac:dyDescent="0.25">
      <c r="A20" s="632" t="s">
        <v>233</v>
      </c>
    </row>
    <row r="21" spans="1:40" x14ac:dyDescent="0.25">
      <c r="A21" s="500" t="s">
        <v>236</v>
      </c>
    </row>
    <row r="22" spans="1:40" x14ac:dyDescent="0.25">
      <c r="A22" s="565" t="s">
        <v>240</v>
      </c>
    </row>
    <row r="23" spans="1:40" x14ac:dyDescent="0.25">
      <c r="A23" s="565" t="s">
        <v>242</v>
      </c>
    </row>
    <row r="24" spans="1:40" x14ac:dyDescent="0.25">
      <c r="A24" s="565" t="s">
        <v>823</v>
      </c>
    </row>
    <row r="25" spans="1:40" x14ac:dyDescent="0.25">
      <c r="A25" s="155"/>
      <c r="B25" t="s">
        <v>44</v>
      </c>
    </row>
    <row r="26" spans="1:40" x14ac:dyDescent="0.25">
      <c r="A26" s="153"/>
      <c r="B26" t="s">
        <v>42</v>
      </c>
    </row>
    <row r="27" spans="1:40" x14ac:dyDescent="0.25">
      <c r="A27" s="154"/>
      <c r="B27" t="s">
        <v>43</v>
      </c>
    </row>
    <row r="28" spans="1:40" x14ac:dyDescent="0.25">
      <c r="A28" s="15" t="s">
        <v>28</v>
      </c>
    </row>
  </sheetData>
  <mergeCells count="14">
    <mergeCell ref="AG1:AJ1"/>
    <mergeCell ref="AK1:AN1"/>
    <mergeCell ref="P1:R1"/>
    <mergeCell ref="H1:I1"/>
    <mergeCell ref="J1:M1"/>
    <mergeCell ref="N1:O1"/>
    <mergeCell ref="Y1:AB1"/>
    <mergeCell ref="AC1:AF1"/>
    <mergeCell ref="C15:E15"/>
    <mergeCell ref="C17:E17"/>
    <mergeCell ref="A1:C1"/>
    <mergeCell ref="E1:G1"/>
    <mergeCell ref="A18:R18"/>
    <mergeCell ref="C16:E16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T30"/>
  <sheetViews>
    <sheetView zoomScaleNormal="100" workbookViewId="0">
      <selection activeCell="W9" sqref="W9"/>
    </sheetView>
  </sheetViews>
  <sheetFormatPr defaultRowHeight="14.3" x14ac:dyDescent="0.25"/>
  <cols>
    <col min="1" max="1" width="7.5" customWidth="1"/>
    <col min="2" max="2" width="4.5" bestFit="1" customWidth="1"/>
    <col min="3" max="3" width="11.5" customWidth="1"/>
    <col min="4" max="4" width="4.875" bestFit="1" customWidth="1"/>
    <col min="5" max="5" width="3.625" customWidth="1"/>
    <col min="6" max="7" width="4" bestFit="1" customWidth="1"/>
    <col min="8" max="18" width="3.625" customWidth="1"/>
    <col min="19" max="20" width="6.375" customWidth="1"/>
    <col min="21" max="22" width="20.5" bestFit="1" customWidth="1"/>
    <col min="23" max="24" width="31" bestFit="1" customWidth="1"/>
    <col min="25" max="40" width="3.625" customWidth="1"/>
    <col min="42" max="42" width="13.125" bestFit="1" customWidth="1"/>
    <col min="45" max="45" width="13.125" bestFit="1" customWidth="1"/>
  </cols>
  <sheetData>
    <row r="1" spans="1:46" ht="14.95" customHeight="1" thickBot="1" x14ac:dyDescent="0.3">
      <c r="A1" s="937" t="s">
        <v>213</v>
      </c>
      <c r="B1" s="938"/>
      <c r="C1" s="938"/>
      <c r="D1" s="159"/>
      <c r="E1" s="939" t="s">
        <v>24</v>
      </c>
      <c r="F1" s="940"/>
      <c r="G1" s="941"/>
      <c r="H1" s="939" t="s">
        <v>23</v>
      </c>
      <c r="I1" s="941"/>
      <c r="J1" s="942" t="s">
        <v>6</v>
      </c>
      <c r="K1" s="943"/>
      <c r="L1" s="943"/>
      <c r="M1" s="944"/>
      <c r="N1" s="942" t="s">
        <v>7</v>
      </c>
      <c r="O1" s="944"/>
      <c r="P1" s="942" t="s">
        <v>25</v>
      </c>
      <c r="Q1" s="943"/>
      <c r="R1" s="944"/>
      <c r="S1" s="433" t="s">
        <v>8</v>
      </c>
      <c r="T1" s="433" t="s">
        <v>9</v>
      </c>
      <c r="U1" s="68" t="s">
        <v>10</v>
      </c>
      <c r="V1" s="67" t="s">
        <v>11</v>
      </c>
      <c r="W1" s="69" t="s">
        <v>26</v>
      </c>
      <c r="X1" s="165" t="s">
        <v>27</v>
      </c>
      <c r="Y1" s="947" t="s">
        <v>20</v>
      </c>
      <c r="Z1" s="753"/>
      <c r="AA1" s="753"/>
      <c r="AB1" s="754"/>
      <c r="AC1" s="947" t="s">
        <v>61</v>
      </c>
      <c r="AD1" s="753"/>
      <c r="AE1" s="753"/>
      <c r="AF1" s="754"/>
      <c r="AG1" s="947" t="s">
        <v>62</v>
      </c>
      <c r="AH1" s="753"/>
      <c r="AI1" s="753"/>
      <c r="AJ1" s="754"/>
      <c r="AK1" s="947" t="s">
        <v>63</v>
      </c>
      <c r="AL1" s="753"/>
      <c r="AM1" s="753"/>
      <c r="AN1" s="754"/>
      <c r="AP1" s="415" t="s">
        <v>161</v>
      </c>
      <c r="AQ1" s="397"/>
      <c r="AR1" s="397"/>
      <c r="AS1" s="415" t="s">
        <v>161</v>
      </c>
    </row>
    <row r="2" spans="1:46" ht="14.95" customHeight="1" thickBot="1" x14ac:dyDescent="0.3">
      <c r="A2" s="70" t="s">
        <v>19</v>
      </c>
      <c r="B2" s="71" t="s">
        <v>18</v>
      </c>
      <c r="C2" s="72" t="s">
        <v>17</v>
      </c>
      <c r="D2" s="73" t="s">
        <v>41</v>
      </c>
      <c r="E2" s="73" t="s">
        <v>16</v>
      </c>
      <c r="F2" s="73" t="s">
        <v>4</v>
      </c>
      <c r="G2" s="73" t="s">
        <v>5</v>
      </c>
      <c r="H2" s="74" t="s">
        <v>12</v>
      </c>
      <c r="I2" s="74" t="s">
        <v>3</v>
      </c>
      <c r="J2" s="74" t="s">
        <v>12</v>
      </c>
      <c r="K2" s="74" t="s">
        <v>13</v>
      </c>
      <c r="L2" s="74" t="s">
        <v>2</v>
      </c>
      <c r="M2" s="74" t="s">
        <v>14</v>
      </c>
      <c r="N2" s="74" t="s">
        <v>15</v>
      </c>
      <c r="O2" s="74" t="s">
        <v>16</v>
      </c>
      <c r="P2" s="74" t="s">
        <v>21</v>
      </c>
      <c r="Q2" s="74" t="s">
        <v>22</v>
      </c>
      <c r="R2" s="74" t="s">
        <v>12</v>
      </c>
      <c r="S2" s="75"/>
      <c r="T2" s="76"/>
      <c r="U2" s="77"/>
      <c r="V2" s="75"/>
      <c r="W2" s="78"/>
      <c r="X2" s="79"/>
      <c r="Y2" s="333" t="s">
        <v>0</v>
      </c>
      <c r="Z2" s="333" t="s">
        <v>1</v>
      </c>
      <c r="AA2" s="333" t="s">
        <v>2</v>
      </c>
      <c r="AB2" s="333" t="s">
        <v>3</v>
      </c>
      <c r="AC2" s="333" t="s">
        <v>0</v>
      </c>
      <c r="AD2" s="333" t="s">
        <v>1</v>
      </c>
      <c r="AE2" s="333" t="s">
        <v>2</v>
      </c>
      <c r="AF2" s="333" t="s">
        <v>3</v>
      </c>
      <c r="AG2" s="333" t="s">
        <v>0</v>
      </c>
      <c r="AH2" s="333" t="s">
        <v>1</v>
      </c>
      <c r="AI2" s="333" t="s">
        <v>2</v>
      </c>
      <c r="AJ2" s="333" t="s">
        <v>3</v>
      </c>
      <c r="AK2" s="333" t="s">
        <v>0</v>
      </c>
      <c r="AL2" s="333" t="s">
        <v>1</v>
      </c>
      <c r="AM2" s="333" t="s">
        <v>2</v>
      </c>
      <c r="AN2" s="333" t="s">
        <v>3</v>
      </c>
      <c r="AP2" s="367" t="s">
        <v>107</v>
      </c>
      <c r="AQ2" s="204"/>
      <c r="AS2" s="368" t="s">
        <v>130</v>
      </c>
      <c r="AT2" s="204"/>
    </row>
    <row r="3" spans="1:46" ht="14.95" customHeight="1" thickBot="1" x14ac:dyDescent="0.3">
      <c r="A3" s="528">
        <v>44751</v>
      </c>
      <c r="B3" s="546" t="s">
        <v>186</v>
      </c>
      <c r="C3" s="529" t="s">
        <v>32</v>
      </c>
      <c r="D3" s="541" t="s">
        <v>515</v>
      </c>
      <c r="E3" s="530" t="s">
        <v>1</v>
      </c>
      <c r="F3" s="530">
        <v>32</v>
      </c>
      <c r="G3" s="530">
        <v>29</v>
      </c>
      <c r="H3" s="530" t="s">
        <v>106</v>
      </c>
      <c r="I3" s="530" t="s">
        <v>106</v>
      </c>
      <c r="J3" s="530">
        <v>4</v>
      </c>
      <c r="K3" s="530">
        <v>2</v>
      </c>
      <c r="L3" s="530">
        <v>0</v>
      </c>
      <c r="M3" s="530">
        <v>2</v>
      </c>
      <c r="N3" s="530">
        <v>0</v>
      </c>
      <c r="O3" s="530">
        <v>0</v>
      </c>
      <c r="P3" s="530" t="s">
        <v>106</v>
      </c>
      <c r="Q3" s="530" t="s">
        <v>106</v>
      </c>
      <c r="R3" s="530">
        <v>3</v>
      </c>
      <c r="S3" s="531">
        <v>51762</v>
      </c>
      <c r="T3" s="544" t="s">
        <v>516</v>
      </c>
      <c r="U3" s="533" t="s">
        <v>517</v>
      </c>
      <c r="V3" s="531" t="s">
        <v>518</v>
      </c>
      <c r="W3" s="534" t="s">
        <v>261</v>
      </c>
      <c r="X3" s="535" t="s">
        <v>289</v>
      </c>
      <c r="Y3" s="536">
        <v>1</v>
      </c>
      <c r="Z3" s="536">
        <v>1</v>
      </c>
      <c r="AA3" s="536">
        <v>0</v>
      </c>
      <c r="AB3" s="537">
        <v>0</v>
      </c>
      <c r="AC3" s="536">
        <v>1</v>
      </c>
      <c r="AD3" s="536">
        <v>1</v>
      </c>
      <c r="AE3" s="536">
        <v>0</v>
      </c>
      <c r="AF3" s="537">
        <v>0</v>
      </c>
      <c r="AG3" s="536">
        <v>0</v>
      </c>
      <c r="AH3" s="536">
        <v>0</v>
      </c>
      <c r="AI3" s="536">
        <v>0</v>
      </c>
      <c r="AJ3" s="537">
        <v>0</v>
      </c>
      <c r="AK3" s="536">
        <v>0</v>
      </c>
      <c r="AL3" s="536">
        <v>0</v>
      </c>
      <c r="AM3" s="536">
        <v>0</v>
      </c>
      <c r="AN3" s="537">
        <v>0</v>
      </c>
      <c r="AP3" s="386" t="s">
        <v>132</v>
      </c>
      <c r="AQ3" s="387">
        <f>Rsaalltestshistplayed</f>
        <v>529</v>
      </c>
      <c r="AS3" s="386" t="s">
        <v>132</v>
      </c>
      <c r="AT3" s="387">
        <f>RsaRWChistplayed</f>
        <v>43</v>
      </c>
    </row>
    <row r="4" spans="1:46" ht="14.95" customHeight="1" thickBot="1" x14ac:dyDescent="0.3">
      <c r="A4" s="528">
        <v>44758</v>
      </c>
      <c r="B4" s="541" t="s">
        <v>186</v>
      </c>
      <c r="C4" s="529" t="s">
        <v>32</v>
      </c>
      <c r="D4" s="541" t="s">
        <v>569</v>
      </c>
      <c r="E4" s="530" t="s">
        <v>3</v>
      </c>
      <c r="F4" s="530">
        <v>12</v>
      </c>
      <c r="G4" s="542">
        <v>13</v>
      </c>
      <c r="H4" s="542" t="s">
        <v>106</v>
      </c>
      <c r="I4" s="530" t="s">
        <v>106</v>
      </c>
      <c r="J4" s="530">
        <v>0</v>
      </c>
      <c r="K4" s="530">
        <v>0</v>
      </c>
      <c r="L4" s="530">
        <v>0</v>
      </c>
      <c r="M4" s="530">
        <v>4</v>
      </c>
      <c r="N4" s="530">
        <v>0</v>
      </c>
      <c r="O4" s="530">
        <v>0</v>
      </c>
      <c r="P4" s="530" t="s">
        <v>106</v>
      </c>
      <c r="Q4" s="530" t="s">
        <v>106</v>
      </c>
      <c r="R4" s="530">
        <v>1</v>
      </c>
      <c r="S4" s="531">
        <v>46000</v>
      </c>
      <c r="T4" s="679" t="s">
        <v>570</v>
      </c>
      <c r="U4" s="534" t="s">
        <v>261</v>
      </c>
      <c r="V4" s="531" t="s">
        <v>283</v>
      </c>
      <c r="W4" s="534" t="s">
        <v>339</v>
      </c>
      <c r="X4" s="535" t="s">
        <v>289</v>
      </c>
      <c r="Y4" s="534">
        <v>1</v>
      </c>
      <c r="Z4" s="534">
        <v>0</v>
      </c>
      <c r="AA4" s="534">
        <v>0</v>
      </c>
      <c r="AB4" s="549">
        <v>1</v>
      </c>
      <c r="AC4" s="534">
        <v>1</v>
      </c>
      <c r="AD4" s="534">
        <v>0</v>
      </c>
      <c r="AE4" s="534">
        <v>0</v>
      </c>
      <c r="AF4" s="549">
        <v>1</v>
      </c>
      <c r="AG4" s="534">
        <v>0</v>
      </c>
      <c r="AH4" s="534">
        <v>0</v>
      </c>
      <c r="AI4" s="534">
        <v>0</v>
      </c>
      <c r="AJ4" s="549">
        <v>0</v>
      </c>
      <c r="AK4" s="534">
        <v>0</v>
      </c>
      <c r="AL4" s="534">
        <v>0</v>
      </c>
      <c r="AM4" s="534">
        <v>0</v>
      </c>
      <c r="AN4" s="549">
        <v>0</v>
      </c>
      <c r="AP4" s="388" t="s">
        <v>133</v>
      </c>
      <c r="AQ4" s="389">
        <f>Rsaalltestshistwon</f>
        <v>331</v>
      </c>
      <c r="AS4" s="388" t="s">
        <v>133</v>
      </c>
      <c r="AT4" s="389">
        <f>RsaRWChistwon</f>
        <v>36</v>
      </c>
    </row>
    <row r="5" spans="1:46" ht="14.95" customHeight="1" thickBot="1" x14ac:dyDescent="0.35">
      <c r="A5" s="528">
        <v>44765</v>
      </c>
      <c r="B5" s="541" t="s">
        <v>186</v>
      </c>
      <c r="C5" s="529" t="s">
        <v>32</v>
      </c>
      <c r="D5" s="541" t="s">
        <v>615</v>
      </c>
      <c r="E5" s="530" t="s">
        <v>1</v>
      </c>
      <c r="F5" s="530">
        <v>30</v>
      </c>
      <c r="G5" s="542">
        <v>14</v>
      </c>
      <c r="H5" s="542" t="s">
        <v>106</v>
      </c>
      <c r="I5" s="530" t="s">
        <v>106</v>
      </c>
      <c r="J5" s="530">
        <v>3</v>
      </c>
      <c r="K5" s="530">
        <v>3</v>
      </c>
      <c r="L5" s="530">
        <v>0</v>
      </c>
      <c r="M5" s="530">
        <v>3</v>
      </c>
      <c r="N5" s="530">
        <v>0</v>
      </c>
      <c r="O5" s="530">
        <v>0</v>
      </c>
      <c r="P5" s="530" t="s">
        <v>106</v>
      </c>
      <c r="Q5" s="530" t="s">
        <v>106</v>
      </c>
      <c r="R5" s="530">
        <v>1</v>
      </c>
      <c r="S5" s="534">
        <v>51347</v>
      </c>
      <c r="T5" s="554" t="s">
        <v>624</v>
      </c>
      <c r="U5" s="539" t="s">
        <v>339</v>
      </c>
      <c r="V5" s="534" t="s">
        <v>283</v>
      </c>
      <c r="W5" s="534" t="s">
        <v>261</v>
      </c>
      <c r="X5" s="533" t="s">
        <v>517</v>
      </c>
      <c r="Y5" s="534">
        <v>1</v>
      </c>
      <c r="Z5" s="534">
        <v>1</v>
      </c>
      <c r="AA5" s="534">
        <v>0</v>
      </c>
      <c r="AB5" s="549">
        <v>0</v>
      </c>
      <c r="AC5" s="534">
        <v>1</v>
      </c>
      <c r="AD5" s="534">
        <v>1</v>
      </c>
      <c r="AE5" s="534">
        <v>0</v>
      </c>
      <c r="AF5" s="549">
        <v>0</v>
      </c>
      <c r="AG5" s="534">
        <v>0</v>
      </c>
      <c r="AH5" s="534">
        <v>0</v>
      </c>
      <c r="AI5" s="534">
        <v>0</v>
      </c>
      <c r="AJ5" s="549">
        <v>0</v>
      </c>
      <c r="AK5" s="534">
        <v>0</v>
      </c>
      <c r="AL5" s="534">
        <v>0</v>
      </c>
      <c r="AM5" s="534">
        <v>0</v>
      </c>
      <c r="AN5" s="549">
        <v>0</v>
      </c>
      <c r="AP5" s="388" t="s">
        <v>139</v>
      </c>
      <c r="AQ5" s="389">
        <f>Rsaalltestshistdrawn</f>
        <v>24</v>
      </c>
      <c r="AS5" s="388" t="s">
        <v>139</v>
      </c>
      <c r="AT5" s="389">
        <f>RsaRWChistdrawn</f>
        <v>0</v>
      </c>
    </row>
    <row r="6" spans="1:46" ht="14.95" customHeight="1" thickBot="1" x14ac:dyDescent="0.35">
      <c r="A6" s="528">
        <v>44779</v>
      </c>
      <c r="B6" s="541" t="s">
        <v>648</v>
      </c>
      <c r="C6" s="529" t="s">
        <v>118</v>
      </c>
      <c r="D6" s="529" t="s">
        <v>649</v>
      </c>
      <c r="E6" s="530" t="s">
        <v>1</v>
      </c>
      <c r="F6" s="530">
        <v>26</v>
      </c>
      <c r="G6" s="542">
        <v>10</v>
      </c>
      <c r="H6" s="555">
        <v>0</v>
      </c>
      <c r="I6" s="542">
        <v>0</v>
      </c>
      <c r="J6" s="530">
        <v>2</v>
      </c>
      <c r="K6" s="530">
        <v>2</v>
      </c>
      <c r="L6" s="530">
        <v>1</v>
      </c>
      <c r="M6" s="530">
        <v>3</v>
      </c>
      <c r="N6" s="530">
        <v>0</v>
      </c>
      <c r="O6" s="530">
        <v>1</v>
      </c>
      <c r="P6" s="530">
        <v>0</v>
      </c>
      <c r="Q6" s="530">
        <v>0</v>
      </c>
      <c r="R6" s="530">
        <v>1</v>
      </c>
      <c r="S6" s="534">
        <v>42367</v>
      </c>
      <c r="T6" s="554" t="s">
        <v>651</v>
      </c>
      <c r="U6" s="539" t="s">
        <v>261</v>
      </c>
      <c r="V6" s="534" t="s">
        <v>283</v>
      </c>
      <c r="W6" s="534" t="s">
        <v>324</v>
      </c>
      <c r="X6" s="540" t="s">
        <v>340</v>
      </c>
      <c r="Y6" s="534">
        <v>1</v>
      </c>
      <c r="Z6" s="534">
        <v>1</v>
      </c>
      <c r="AA6" s="534">
        <v>0</v>
      </c>
      <c r="AB6" s="549">
        <v>0</v>
      </c>
      <c r="AC6" s="534">
        <v>1</v>
      </c>
      <c r="AD6" s="534">
        <v>1</v>
      </c>
      <c r="AE6" s="534">
        <v>0</v>
      </c>
      <c r="AF6" s="549">
        <v>0</v>
      </c>
      <c r="AG6" s="534">
        <v>0</v>
      </c>
      <c r="AH6" s="534">
        <v>0</v>
      </c>
      <c r="AI6" s="534">
        <v>0</v>
      </c>
      <c r="AJ6" s="549">
        <v>0</v>
      </c>
      <c r="AK6" s="534">
        <v>0</v>
      </c>
      <c r="AL6" s="534">
        <v>0</v>
      </c>
      <c r="AM6" s="534">
        <v>0</v>
      </c>
      <c r="AN6" s="549">
        <v>0</v>
      </c>
      <c r="AP6" s="388" t="s">
        <v>134</v>
      </c>
      <c r="AQ6" s="389">
        <f>Rsaalltestshistlost</f>
        <v>174</v>
      </c>
      <c r="AS6" s="388" t="s">
        <v>134</v>
      </c>
      <c r="AT6" s="389">
        <f>RsaRWChistlost</f>
        <v>7</v>
      </c>
    </row>
    <row r="7" spans="1:46" ht="14.95" customHeight="1" thickBot="1" x14ac:dyDescent="0.3">
      <c r="A7" s="528">
        <v>44786</v>
      </c>
      <c r="B7" s="541" t="s">
        <v>648</v>
      </c>
      <c r="C7" s="529" t="s">
        <v>118</v>
      </c>
      <c r="D7" s="529" t="s">
        <v>660</v>
      </c>
      <c r="E7" s="530" t="s">
        <v>3</v>
      </c>
      <c r="F7" s="530">
        <v>23</v>
      </c>
      <c r="G7" s="542">
        <v>35</v>
      </c>
      <c r="H7" s="542">
        <v>0</v>
      </c>
      <c r="I7" s="530">
        <v>0</v>
      </c>
      <c r="J7" s="530">
        <v>2</v>
      </c>
      <c r="K7" s="530">
        <v>2</v>
      </c>
      <c r="L7" s="530">
        <v>0</v>
      </c>
      <c r="M7" s="530">
        <v>3</v>
      </c>
      <c r="N7" s="530">
        <v>1</v>
      </c>
      <c r="O7" s="530">
        <v>0</v>
      </c>
      <c r="P7" s="530">
        <v>1</v>
      </c>
      <c r="Q7" s="530">
        <v>0</v>
      </c>
      <c r="R7" s="530">
        <v>4</v>
      </c>
      <c r="S7" s="534">
        <v>61519</v>
      </c>
      <c r="T7" s="538" t="s">
        <v>661</v>
      </c>
      <c r="U7" s="539" t="s">
        <v>324</v>
      </c>
      <c r="V7" s="534" t="s">
        <v>283</v>
      </c>
      <c r="W7" s="539" t="s">
        <v>261</v>
      </c>
      <c r="X7" s="540" t="s">
        <v>340</v>
      </c>
      <c r="Y7" s="534">
        <v>1</v>
      </c>
      <c r="Z7" s="534">
        <v>0</v>
      </c>
      <c r="AA7" s="534">
        <v>0</v>
      </c>
      <c r="AB7" s="549">
        <v>1</v>
      </c>
      <c r="AC7" s="534">
        <v>1</v>
      </c>
      <c r="AD7" s="534">
        <v>0</v>
      </c>
      <c r="AE7" s="534">
        <v>0</v>
      </c>
      <c r="AF7" s="549">
        <v>1</v>
      </c>
      <c r="AG7" s="534">
        <v>0</v>
      </c>
      <c r="AH7" s="534">
        <v>0</v>
      </c>
      <c r="AI7" s="534">
        <v>0</v>
      </c>
      <c r="AJ7" s="549">
        <v>0</v>
      </c>
      <c r="AK7" s="534">
        <v>0</v>
      </c>
      <c r="AL7" s="534">
        <v>0</v>
      </c>
      <c r="AM7" s="534">
        <v>0</v>
      </c>
      <c r="AN7" s="549">
        <v>0</v>
      </c>
      <c r="AP7" s="388" t="s">
        <v>140</v>
      </c>
      <c r="AQ7" s="389">
        <f>Rsaalltestshistptsscored</f>
        <v>12519</v>
      </c>
      <c r="AS7" s="388" t="s">
        <v>140</v>
      </c>
      <c r="AT7" s="389">
        <f>RsaRWChistptsscored</f>
        <v>1512</v>
      </c>
    </row>
    <row r="8" spans="1:46" ht="14.95" customHeight="1" thickBot="1" x14ac:dyDescent="0.3">
      <c r="A8" s="501">
        <v>44800</v>
      </c>
      <c r="B8" s="502" t="s">
        <v>648</v>
      </c>
      <c r="C8" s="503" t="s">
        <v>29</v>
      </c>
      <c r="D8" s="502" t="s">
        <v>670</v>
      </c>
      <c r="E8" s="504" t="s">
        <v>3</v>
      </c>
      <c r="F8" s="504">
        <v>17</v>
      </c>
      <c r="G8" s="505">
        <v>25</v>
      </c>
      <c r="H8" s="505">
        <v>0</v>
      </c>
      <c r="I8" s="504">
        <v>0</v>
      </c>
      <c r="J8" s="504">
        <v>2</v>
      </c>
      <c r="K8" s="504">
        <v>2</v>
      </c>
      <c r="L8" s="504">
        <v>0</v>
      </c>
      <c r="M8" s="504">
        <v>1</v>
      </c>
      <c r="N8" s="504">
        <v>1</v>
      </c>
      <c r="O8" s="504">
        <v>0</v>
      </c>
      <c r="P8" s="504">
        <v>0</v>
      </c>
      <c r="Q8" s="504">
        <v>0</v>
      </c>
      <c r="R8" s="504">
        <v>3</v>
      </c>
      <c r="S8" s="506">
        <v>36336</v>
      </c>
      <c r="T8" s="520" t="s">
        <v>652</v>
      </c>
      <c r="U8" s="506" t="s">
        <v>565</v>
      </c>
      <c r="V8" s="506" t="s">
        <v>511</v>
      </c>
      <c r="W8" s="506" t="s">
        <v>266</v>
      </c>
      <c r="X8" s="508" t="s">
        <v>385</v>
      </c>
      <c r="Y8" s="506">
        <v>1</v>
      </c>
      <c r="Z8" s="506">
        <v>0</v>
      </c>
      <c r="AA8" s="506">
        <v>0</v>
      </c>
      <c r="AB8" s="522">
        <v>1</v>
      </c>
      <c r="AC8" s="506">
        <v>0</v>
      </c>
      <c r="AD8" s="506">
        <v>0</v>
      </c>
      <c r="AE8" s="506">
        <v>0</v>
      </c>
      <c r="AF8" s="522">
        <v>0</v>
      </c>
      <c r="AG8" s="506">
        <v>1</v>
      </c>
      <c r="AH8" s="506">
        <v>0</v>
      </c>
      <c r="AI8" s="506">
        <v>0</v>
      </c>
      <c r="AJ8" s="522">
        <v>1</v>
      </c>
      <c r="AK8" s="506">
        <v>0</v>
      </c>
      <c r="AL8" s="506">
        <v>0</v>
      </c>
      <c r="AM8" s="506">
        <v>0</v>
      </c>
      <c r="AN8" s="522">
        <v>0</v>
      </c>
      <c r="AP8" s="388" t="s">
        <v>141</v>
      </c>
      <c r="AQ8" s="389">
        <f>Rsaalltestshistptscon</f>
        <v>8634</v>
      </c>
      <c r="AS8" s="388" t="s">
        <v>141</v>
      </c>
      <c r="AT8" s="389">
        <f>RsaRWChistptscon</f>
        <v>553</v>
      </c>
    </row>
    <row r="9" spans="1:46" ht="14.95" customHeight="1" thickBot="1" x14ac:dyDescent="0.35">
      <c r="A9" s="518">
        <v>44807</v>
      </c>
      <c r="B9" s="517" t="s">
        <v>648</v>
      </c>
      <c r="C9" s="517" t="s">
        <v>29</v>
      </c>
      <c r="D9" s="517" t="s">
        <v>686</v>
      </c>
      <c r="E9" s="504" t="s">
        <v>1</v>
      </c>
      <c r="F9" s="504">
        <v>24</v>
      </c>
      <c r="G9" s="505">
        <v>8</v>
      </c>
      <c r="H9" s="505">
        <v>1</v>
      </c>
      <c r="I9" s="504">
        <v>0</v>
      </c>
      <c r="J9" s="504">
        <v>4</v>
      </c>
      <c r="K9" s="504">
        <v>2</v>
      </c>
      <c r="L9" s="504">
        <v>0</v>
      </c>
      <c r="M9" s="504">
        <v>0</v>
      </c>
      <c r="N9" s="504">
        <v>2</v>
      </c>
      <c r="O9" s="504">
        <v>0</v>
      </c>
      <c r="P9" s="504">
        <v>0</v>
      </c>
      <c r="Q9" s="504">
        <v>0</v>
      </c>
      <c r="R9" s="504">
        <v>1</v>
      </c>
      <c r="S9" s="511">
        <v>38292</v>
      </c>
      <c r="T9" s="512" t="s">
        <v>327</v>
      </c>
      <c r="U9" s="513" t="s">
        <v>266</v>
      </c>
      <c r="V9" s="511" t="s">
        <v>511</v>
      </c>
      <c r="W9" s="506" t="s">
        <v>565</v>
      </c>
      <c r="X9" s="514" t="s">
        <v>385</v>
      </c>
      <c r="Y9" s="506">
        <v>1</v>
      </c>
      <c r="Z9" s="506">
        <v>1</v>
      </c>
      <c r="AA9" s="506">
        <v>0</v>
      </c>
      <c r="AB9" s="522">
        <v>0</v>
      </c>
      <c r="AC9" s="506">
        <v>0</v>
      </c>
      <c r="AD9" s="506">
        <v>0</v>
      </c>
      <c r="AE9" s="506">
        <v>0</v>
      </c>
      <c r="AF9" s="522">
        <v>0</v>
      </c>
      <c r="AG9" s="506">
        <v>1</v>
      </c>
      <c r="AH9" s="506">
        <v>1</v>
      </c>
      <c r="AI9" s="506">
        <v>0</v>
      </c>
      <c r="AJ9" s="522">
        <v>0</v>
      </c>
      <c r="AK9" s="506">
        <v>0</v>
      </c>
      <c r="AL9" s="506">
        <v>0</v>
      </c>
      <c r="AM9" s="506">
        <v>0</v>
      </c>
      <c r="AN9" s="522">
        <v>0</v>
      </c>
      <c r="AP9" s="388" t="s">
        <v>131</v>
      </c>
      <c r="AQ9" s="389">
        <f>Rsaalltestshisttriesscored</f>
        <v>1496</v>
      </c>
      <c r="AS9" s="388" t="s">
        <v>131</v>
      </c>
      <c r="AT9" s="389">
        <f>RsaRWChisttriesscored</f>
        <v>174</v>
      </c>
    </row>
    <row r="10" spans="1:46" ht="14.95" customHeight="1" thickBot="1" x14ac:dyDescent="0.35">
      <c r="A10" s="518">
        <v>44821</v>
      </c>
      <c r="B10" s="623" t="s">
        <v>648</v>
      </c>
      <c r="C10" s="525" t="s">
        <v>37</v>
      </c>
      <c r="D10" s="517" t="s">
        <v>695</v>
      </c>
      <c r="E10" s="504" t="s">
        <v>1</v>
      </c>
      <c r="F10" s="504">
        <v>36</v>
      </c>
      <c r="G10" s="505">
        <v>20</v>
      </c>
      <c r="H10" s="505">
        <v>1</v>
      </c>
      <c r="I10" s="504">
        <v>0</v>
      </c>
      <c r="J10" s="504">
        <v>5</v>
      </c>
      <c r="K10" s="504">
        <v>3</v>
      </c>
      <c r="L10" s="504">
        <v>0</v>
      </c>
      <c r="M10" s="504">
        <v>1</v>
      </c>
      <c r="N10" s="504">
        <v>2</v>
      </c>
      <c r="O10" s="504">
        <v>0</v>
      </c>
      <c r="P10" s="504">
        <v>0</v>
      </c>
      <c r="Q10" s="504">
        <v>0</v>
      </c>
      <c r="R10" s="504">
        <v>2</v>
      </c>
      <c r="S10" s="506">
        <v>34000</v>
      </c>
      <c r="T10" s="570" t="s">
        <v>699</v>
      </c>
      <c r="U10" s="506" t="s">
        <v>510</v>
      </c>
      <c r="V10" s="506" t="s">
        <v>449</v>
      </c>
      <c r="W10" s="506" t="s">
        <v>285</v>
      </c>
      <c r="X10" s="506" t="s">
        <v>269</v>
      </c>
      <c r="Y10" s="522">
        <v>1</v>
      </c>
      <c r="Z10" s="522">
        <v>1</v>
      </c>
      <c r="AA10" s="522">
        <v>0</v>
      </c>
      <c r="AB10" s="522">
        <v>0</v>
      </c>
      <c r="AC10" s="522">
        <v>0</v>
      </c>
      <c r="AD10" s="522">
        <v>0</v>
      </c>
      <c r="AE10" s="522">
        <v>0</v>
      </c>
      <c r="AF10" s="522">
        <v>0</v>
      </c>
      <c r="AG10" s="522">
        <v>1</v>
      </c>
      <c r="AH10" s="522">
        <v>1</v>
      </c>
      <c r="AI10" s="522">
        <v>0</v>
      </c>
      <c r="AJ10" s="522">
        <v>0</v>
      </c>
      <c r="AK10" s="522">
        <v>0</v>
      </c>
      <c r="AL10" s="522">
        <v>0</v>
      </c>
      <c r="AM10" s="522">
        <v>0</v>
      </c>
      <c r="AN10" s="522">
        <v>0</v>
      </c>
    </row>
    <row r="11" spans="1:46" ht="14.95" customHeight="1" thickBot="1" x14ac:dyDescent="0.35">
      <c r="A11" s="545">
        <v>44828</v>
      </c>
      <c r="B11" s="546" t="s">
        <v>648</v>
      </c>
      <c r="C11" s="546" t="s">
        <v>37</v>
      </c>
      <c r="D11" s="546" t="s">
        <v>709</v>
      </c>
      <c r="E11" s="530" t="s">
        <v>1</v>
      </c>
      <c r="F11" s="530">
        <v>38</v>
      </c>
      <c r="G11" s="542">
        <v>21</v>
      </c>
      <c r="H11" s="542">
        <v>1</v>
      </c>
      <c r="I11" s="530">
        <v>0</v>
      </c>
      <c r="J11" s="530">
        <v>5</v>
      </c>
      <c r="K11" s="530">
        <v>3</v>
      </c>
      <c r="L11" s="530">
        <v>0</v>
      </c>
      <c r="M11" s="530">
        <v>1</v>
      </c>
      <c r="N11" s="530">
        <v>2</v>
      </c>
      <c r="O11" s="530">
        <v>0</v>
      </c>
      <c r="P11" s="530">
        <v>0</v>
      </c>
      <c r="Q11" s="530">
        <v>0</v>
      </c>
      <c r="R11" s="530">
        <v>3</v>
      </c>
      <c r="S11" s="534">
        <v>45982</v>
      </c>
      <c r="T11" s="554" t="s">
        <v>712</v>
      </c>
      <c r="U11" s="534" t="s">
        <v>285</v>
      </c>
      <c r="V11" s="534" t="s">
        <v>449</v>
      </c>
      <c r="W11" s="534" t="s">
        <v>299</v>
      </c>
      <c r="X11" s="534" t="s">
        <v>289</v>
      </c>
      <c r="Y11" s="534">
        <v>1</v>
      </c>
      <c r="Z11" s="549">
        <v>1</v>
      </c>
      <c r="AA11" s="549">
        <v>0</v>
      </c>
      <c r="AB11" s="549">
        <v>0</v>
      </c>
      <c r="AC11" s="549">
        <v>0</v>
      </c>
      <c r="AD11" s="549">
        <v>0</v>
      </c>
      <c r="AE11" s="549">
        <v>0</v>
      </c>
      <c r="AF11" s="549">
        <v>0</v>
      </c>
      <c r="AG11" s="549">
        <v>1</v>
      </c>
      <c r="AH11" s="549">
        <v>1</v>
      </c>
      <c r="AI11" s="549">
        <v>0</v>
      </c>
      <c r="AJ11" s="549">
        <v>0</v>
      </c>
      <c r="AK11" s="549">
        <v>0</v>
      </c>
      <c r="AL11" s="549">
        <v>0</v>
      </c>
      <c r="AM11" s="549">
        <v>0</v>
      </c>
      <c r="AN11" s="549">
        <v>0</v>
      </c>
    </row>
    <row r="12" spans="1:46" ht="14.95" customHeight="1" thickBot="1" x14ac:dyDescent="0.3">
      <c r="A12" s="518">
        <v>44870</v>
      </c>
      <c r="B12" s="517" t="s">
        <v>721</v>
      </c>
      <c r="C12" s="517" t="s">
        <v>39</v>
      </c>
      <c r="D12" s="517" t="s">
        <v>115</v>
      </c>
      <c r="E12" s="504" t="s">
        <v>3</v>
      </c>
      <c r="F12" s="504">
        <v>16</v>
      </c>
      <c r="G12" s="505">
        <v>19</v>
      </c>
      <c r="H12" s="505" t="s">
        <v>106</v>
      </c>
      <c r="I12" s="504" t="s">
        <v>106</v>
      </c>
      <c r="J12" s="504">
        <v>2</v>
      </c>
      <c r="K12" s="504">
        <v>0</v>
      </c>
      <c r="L12" s="504">
        <v>0</v>
      </c>
      <c r="M12" s="504">
        <v>2</v>
      </c>
      <c r="N12" s="504">
        <v>1</v>
      </c>
      <c r="O12" s="504">
        <v>0</v>
      </c>
      <c r="P12" s="504" t="s">
        <v>106</v>
      </c>
      <c r="Q12" s="504" t="s">
        <v>106</v>
      </c>
      <c r="R12" s="504">
        <v>2</v>
      </c>
      <c r="S12" s="506">
        <v>51000</v>
      </c>
      <c r="T12" s="720" t="s">
        <v>509</v>
      </c>
      <c r="U12" s="506" t="s">
        <v>284</v>
      </c>
      <c r="V12" s="506" t="s">
        <v>259</v>
      </c>
      <c r="W12" s="506" t="s">
        <v>260</v>
      </c>
      <c r="X12" s="506" t="s">
        <v>289</v>
      </c>
      <c r="Y12" s="506">
        <v>1</v>
      </c>
      <c r="Z12" s="522">
        <v>0</v>
      </c>
      <c r="AA12" s="522">
        <v>0</v>
      </c>
      <c r="AB12" s="522">
        <v>1</v>
      </c>
      <c r="AC12" s="522">
        <v>0</v>
      </c>
      <c r="AD12" s="522">
        <v>0</v>
      </c>
      <c r="AE12" s="522">
        <v>0</v>
      </c>
      <c r="AF12" s="522">
        <v>0</v>
      </c>
      <c r="AG12" s="522">
        <v>1</v>
      </c>
      <c r="AH12" s="522">
        <v>0</v>
      </c>
      <c r="AI12" s="522">
        <v>0</v>
      </c>
      <c r="AJ12" s="522">
        <v>1</v>
      </c>
      <c r="AK12" s="522">
        <v>0</v>
      </c>
      <c r="AL12" s="522">
        <v>0</v>
      </c>
      <c r="AM12" s="522">
        <v>0</v>
      </c>
      <c r="AN12" s="522">
        <v>0</v>
      </c>
    </row>
    <row r="13" spans="1:46" ht="14.95" customHeight="1" thickBot="1" x14ac:dyDescent="0.3">
      <c r="A13" s="518">
        <v>44877</v>
      </c>
      <c r="B13" s="517" t="s">
        <v>721</v>
      </c>
      <c r="C13" s="517" t="s">
        <v>34</v>
      </c>
      <c r="D13" s="517" t="s">
        <v>736</v>
      </c>
      <c r="E13" s="504" t="s">
        <v>3</v>
      </c>
      <c r="F13" s="504">
        <v>26</v>
      </c>
      <c r="G13" s="505">
        <v>30</v>
      </c>
      <c r="H13" s="505" t="s">
        <v>106</v>
      </c>
      <c r="I13" s="504" t="s">
        <v>106</v>
      </c>
      <c r="J13" s="504">
        <v>2</v>
      </c>
      <c r="K13" s="504">
        <v>2</v>
      </c>
      <c r="L13" s="504">
        <v>0</v>
      </c>
      <c r="M13" s="504">
        <v>4</v>
      </c>
      <c r="N13" s="504">
        <v>1</v>
      </c>
      <c r="O13" s="504">
        <v>1</v>
      </c>
      <c r="P13" s="504" t="s">
        <v>106</v>
      </c>
      <c r="Q13" s="504" t="s">
        <v>106</v>
      </c>
      <c r="R13" s="504">
        <v>2</v>
      </c>
      <c r="S13" s="506">
        <v>62500</v>
      </c>
      <c r="T13" s="520" t="s">
        <v>819</v>
      </c>
      <c r="U13" s="506" t="s">
        <v>304</v>
      </c>
      <c r="V13" s="506" t="s">
        <v>312</v>
      </c>
      <c r="W13" s="506" t="s">
        <v>322</v>
      </c>
      <c r="X13" s="506" t="s">
        <v>340</v>
      </c>
      <c r="Y13" s="506">
        <v>1</v>
      </c>
      <c r="Z13" s="522">
        <v>0</v>
      </c>
      <c r="AA13" s="522">
        <v>0</v>
      </c>
      <c r="AB13" s="522">
        <v>1</v>
      </c>
      <c r="AC13" s="522">
        <v>0</v>
      </c>
      <c r="AD13" s="522">
        <v>0</v>
      </c>
      <c r="AE13" s="522">
        <v>0</v>
      </c>
      <c r="AF13" s="522">
        <v>0</v>
      </c>
      <c r="AG13" s="522">
        <v>1</v>
      </c>
      <c r="AH13" s="522">
        <v>0</v>
      </c>
      <c r="AI13" s="522">
        <v>0</v>
      </c>
      <c r="AJ13" s="522">
        <v>1</v>
      </c>
      <c r="AK13" s="522">
        <v>0</v>
      </c>
      <c r="AL13" s="522">
        <v>0</v>
      </c>
      <c r="AM13" s="522">
        <v>0</v>
      </c>
      <c r="AN13" s="522">
        <v>0</v>
      </c>
    </row>
    <row r="14" spans="1:46" ht="14.95" customHeight="1" thickBot="1" x14ac:dyDescent="0.35">
      <c r="A14" s="518">
        <v>44884</v>
      </c>
      <c r="B14" s="517" t="s">
        <v>721</v>
      </c>
      <c r="C14" s="517" t="s">
        <v>33</v>
      </c>
      <c r="D14" s="517" t="s">
        <v>740</v>
      </c>
      <c r="E14" s="504" t="s">
        <v>1</v>
      </c>
      <c r="F14" s="504">
        <v>63</v>
      </c>
      <c r="G14" s="505">
        <v>21</v>
      </c>
      <c r="H14" s="505" t="s">
        <v>106</v>
      </c>
      <c r="I14" s="504" t="s">
        <v>106</v>
      </c>
      <c r="J14" s="504">
        <v>9</v>
      </c>
      <c r="K14" s="504">
        <v>6</v>
      </c>
      <c r="L14" s="504">
        <v>0</v>
      </c>
      <c r="M14" s="504">
        <v>2</v>
      </c>
      <c r="N14" s="504">
        <v>0</v>
      </c>
      <c r="O14" s="504">
        <v>0</v>
      </c>
      <c r="P14" s="504" t="s">
        <v>106</v>
      </c>
      <c r="Q14" s="504" t="s">
        <v>106</v>
      </c>
      <c r="R14" s="504">
        <v>2</v>
      </c>
      <c r="S14" s="506">
        <v>26457</v>
      </c>
      <c r="T14" s="570" t="s">
        <v>836</v>
      </c>
      <c r="U14" s="506" t="s">
        <v>339</v>
      </c>
      <c r="V14" s="506" t="s">
        <v>338</v>
      </c>
      <c r="W14" s="506" t="s">
        <v>304</v>
      </c>
      <c r="X14" s="506" t="s">
        <v>332</v>
      </c>
      <c r="Y14" s="506">
        <v>1</v>
      </c>
      <c r="Z14" s="522">
        <v>1</v>
      </c>
      <c r="AA14" s="522">
        <v>0</v>
      </c>
      <c r="AB14" s="522">
        <v>0</v>
      </c>
      <c r="AC14" s="522">
        <v>0</v>
      </c>
      <c r="AD14" s="522">
        <v>0</v>
      </c>
      <c r="AE14" s="522">
        <v>0</v>
      </c>
      <c r="AF14" s="522">
        <v>0</v>
      </c>
      <c r="AG14" s="522">
        <v>1</v>
      </c>
      <c r="AH14" s="522">
        <v>1</v>
      </c>
      <c r="AI14" s="522">
        <v>0</v>
      </c>
      <c r="AJ14" s="522">
        <v>0</v>
      </c>
      <c r="AK14" s="522">
        <v>0</v>
      </c>
      <c r="AL14" s="522">
        <v>0</v>
      </c>
      <c r="AM14" s="522">
        <v>0</v>
      </c>
      <c r="AN14" s="522">
        <v>0</v>
      </c>
    </row>
    <row r="15" spans="1:46" ht="14.95" customHeight="1" thickBot="1" x14ac:dyDescent="0.35">
      <c r="A15" s="518">
        <v>44891</v>
      </c>
      <c r="B15" s="517" t="s">
        <v>721</v>
      </c>
      <c r="C15" s="517" t="s">
        <v>30</v>
      </c>
      <c r="D15" s="517" t="s">
        <v>116</v>
      </c>
      <c r="E15" s="504" t="s">
        <v>1</v>
      </c>
      <c r="F15" s="504">
        <v>27</v>
      </c>
      <c r="G15" s="505">
        <v>13</v>
      </c>
      <c r="H15" s="505" t="s">
        <v>106</v>
      </c>
      <c r="I15" s="504" t="s">
        <v>106</v>
      </c>
      <c r="J15" s="504">
        <v>2</v>
      </c>
      <c r="K15" s="504">
        <v>1</v>
      </c>
      <c r="L15" s="504">
        <v>2</v>
      </c>
      <c r="M15" s="504">
        <v>3</v>
      </c>
      <c r="N15" s="504">
        <v>0</v>
      </c>
      <c r="O15" s="504">
        <v>1</v>
      </c>
      <c r="P15" s="504" t="s">
        <v>106</v>
      </c>
      <c r="Q15" s="504" t="s">
        <v>106</v>
      </c>
      <c r="R15" s="504">
        <v>1</v>
      </c>
      <c r="S15" s="506">
        <v>81268</v>
      </c>
      <c r="T15" s="570" t="s">
        <v>879</v>
      </c>
      <c r="U15" s="506" t="s">
        <v>261</v>
      </c>
      <c r="V15" s="506" t="s">
        <v>267</v>
      </c>
      <c r="W15" s="506" t="s">
        <v>313</v>
      </c>
      <c r="X15" s="506" t="s">
        <v>314</v>
      </c>
      <c r="Y15" s="506">
        <v>1</v>
      </c>
      <c r="Z15" s="522">
        <v>1</v>
      </c>
      <c r="AA15" s="522">
        <v>0</v>
      </c>
      <c r="AB15" s="522">
        <v>0</v>
      </c>
      <c r="AC15" s="522">
        <v>0</v>
      </c>
      <c r="AD15" s="522">
        <v>0</v>
      </c>
      <c r="AE15" s="522">
        <v>0</v>
      </c>
      <c r="AF15" s="522">
        <v>0</v>
      </c>
      <c r="AG15" s="522">
        <v>1</v>
      </c>
      <c r="AH15" s="522">
        <v>1</v>
      </c>
      <c r="AI15" s="522">
        <v>0</v>
      </c>
      <c r="AJ15" s="522">
        <v>0</v>
      </c>
      <c r="AK15" s="522">
        <v>0</v>
      </c>
      <c r="AL15" s="522">
        <v>0</v>
      </c>
      <c r="AM15" s="522">
        <v>0</v>
      </c>
      <c r="AN15" s="522">
        <v>0</v>
      </c>
    </row>
    <row r="16" spans="1:46" ht="14.95" thickBot="1" x14ac:dyDescent="0.3">
      <c r="A16" s="310"/>
      <c r="B16" s="311"/>
      <c r="C16" s="771" t="s">
        <v>173</v>
      </c>
      <c r="D16" s="801"/>
      <c r="E16" s="802"/>
      <c r="F16" s="602">
        <f>SUM(F3+F4+F5+F12+F13+F14+F15)</f>
        <v>206</v>
      </c>
      <c r="G16" s="602">
        <f>SUM(G3+G4+G5+G12+G13+G14+G15)</f>
        <v>139</v>
      </c>
      <c r="H16" s="602" t="s">
        <v>106</v>
      </c>
      <c r="I16" s="602" t="s">
        <v>106</v>
      </c>
      <c r="J16" s="602">
        <f>SUM(J3+J4+J5+J12+J13+J14+J15)</f>
        <v>22</v>
      </c>
      <c r="K16" s="602">
        <f t="shared" ref="K16:O16" si="0">SUM(K3+K4+K5+K12+K13+K14+K15)</f>
        <v>14</v>
      </c>
      <c r="L16" s="602">
        <f t="shared" si="0"/>
        <v>2</v>
      </c>
      <c r="M16" s="602">
        <f t="shared" si="0"/>
        <v>20</v>
      </c>
      <c r="N16" s="602">
        <f t="shared" si="0"/>
        <v>2</v>
      </c>
      <c r="O16" s="602">
        <f t="shared" si="0"/>
        <v>2</v>
      </c>
      <c r="P16" s="602" t="s">
        <v>106</v>
      </c>
      <c r="Q16" s="602" t="s">
        <v>106</v>
      </c>
      <c r="R16" s="602">
        <f>SUM(R3+R4+R5+R12+R13+R14+R15)</f>
        <v>12</v>
      </c>
      <c r="S16" s="599"/>
      <c r="T16" s="599"/>
      <c r="U16" s="599"/>
      <c r="V16" s="599"/>
      <c r="W16" s="600"/>
      <c r="X16" s="609" t="s">
        <v>173</v>
      </c>
      <c r="Y16" s="602">
        <f t="shared" ref="Y16:AN16" si="1">SUM(Y3+Y4+Y5+Y12+Y13+Y14+Y15)</f>
        <v>7</v>
      </c>
      <c r="Z16" s="602">
        <f t="shared" si="1"/>
        <v>4</v>
      </c>
      <c r="AA16" s="602">
        <f t="shared" si="1"/>
        <v>0</v>
      </c>
      <c r="AB16" s="602">
        <f t="shared" si="1"/>
        <v>3</v>
      </c>
      <c r="AC16" s="603">
        <f t="shared" si="1"/>
        <v>3</v>
      </c>
      <c r="AD16" s="603">
        <f t="shared" si="1"/>
        <v>2</v>
      </c>
      <c r="AE16" s="603">
        <f t="shared" si="1"/>
        <v>0</v>
      </c>
      <c r="AF16" s="603">
        <f t="shared" si="1"/>
        <v>1</v>
      </c>
      <c r="AG16" s="604">
        <f t="shared" si="1"/>
        <v>4</v>
      </c>
      <c r="AH16" s="604">
        <f t="shared" si="1"/>
        <v>2</v>
      </c>
      <c r="AI16" s="604">
        <f t="shared" si="1"/>
        <v>0</v>
      </c>
      <c r="AJ16" s="604">
        <f t="shared" si="1"/>
        <v>2</v>
      </c>
      <c r="AK16" s="602">
        <f t="shared" si="1"/>
        <v>0</v>
      </c>
      <c r="AL16" s="602">
        <f t="shared" si="1"/>
        <v>0</v>
      </c>
      <c r="AM16" s="602">
        <f t="shared" si="1"/>
        <v>0</v>
      </c>
      <c r="AN16" s="602">
        <f t="shared" si="1"/>
        <v>0</v>
      </c>
    </row>
    <row r="17" spans="1:40" ht="14.95" thickBot="1" x14ac:dyDescent="0.3">
      <c r="A17" s="310"/>
      <c r="B17" s="311"/>
      <c r="C17" s="777" t="s">
        <v>187</v>
      </c>
      <c r="D17" s="945"/>
      <c r="E17" s="946"/>
      <c r="F17" s="324">
        <f t="shared" ref="F17:R17" si="2">SUM(F6:F11)</f>
        <v>164</v>
      </c>
      <c r="G17" s="324">
        <f t="shared" si="2"/>
        <v>119</v>
      </c>
      <c r="H17" s="324">
        <f t="shared" si="2"/>
        <v>3</v>
      </c>
      <c r="I17" s="324">
        <f t="shared" si="2"/>
        <v>0</v>
      </c>
      <c r="J17" s="324">
        <f t="shared" si="2"/>
        <v>20</v>
      </c>
      <c r="K17" s="324">
        <f t="shared" si="2"/>
        <v>14</v>
      </c>
      <c r="L17" s="324">
        <f t="shared" si="2"/>
        <v>1</v>
      </c>
      <c r="M17" s="324">
        <f t="shared" si="2"/>
        <v>9</v>
      </c>
      <c r="N17" s="324">
        <f t="shared" si="2"/>
        <v>8</v>
      </c>
      <c r="O17" s="324">
        <f t="shared" si="2"/>
        <v>1</v>
      </c>
      <c r="P17" s="324">
        <f t="shared" si="2"/>
        <v>1</v>
      </c>
      <c r="Q17" s="324">
        <f t="shared" si="2"/>
        <v>0</v>
      </c>
      <c r="R17" s="324">
        <f t="shared" si="2"/>
        <v>14</v>
      </c>
      <c r="S17" s="320"/>
      <c r="T17" s="320"/>
      <c r="U17" s="320"/>
      <c r="V17" s="320"/>
      <c r="W17" s="321"/>
      <c r="X17" s="446" t="s">
        <v>187</v>
      </c>
      <c r="Y17" s="324">
        <f t="shared" ref="Y17:AN17" si="3">SUM(Y6:Y11)</f>
        <v>6</v>
      </c>
      <c r="Z17" s="324">
        <f t="shared" si="3"/>
        <v>4</v>
      </c>
      <c r="AA17" s="324">
        <f t="shared" si="3"/>
        <v>0</v>
      </c>
      <c r="AB17" s="324">
        <f t="shared" si="3"/>
        <v>2</v>
      </c>
      <c r="AC17" s="322">
        <f t="shared" si="3"/>
        <v>2</v>
      </c>
      <c r="AD17" s="322">
        <f t="shared" si="3"/>
        <v>1</v>
      </c>
      <c r="AE17" s="322">
        <f t="shared" si="3"/>
        <v>0</v>
      </c>
      <c r="AF17" s="322">
        <f t="shared" si="3"/>
        <v>1</v>
      </c>
      <c r="AG17" s="323">
        <f t="shared" si="3"/>
        <v>4</v>
      </c>
      <c r="AH17" s="323">
        <f t="shared" si="3"/>
        <v>3</v>
      </c>
      <c r="AI17" s="323">
        <f t="shared" si="3"/>
        <v>0</v>
      </c>
      <c r="AJ17" s="323">
        <f t="shared" si="3"/>
        <v>1</v>
      </c>
      <c r="AK17" s="324">
        <f t="shared" si="3"/>
        <v>0</v>
      </c>
      <c r="AL17" s="324">
        <f t="shared" si="3"/>
        <v>0</v>
      </c>
      <c r="AM17" s="324">
        <f t="shared" si="3"/>
        <v>0</v>
      </c>
      <c r="AN17" s="324">
        <f t="shared" si="3"/>
        <v>0</v>
      </c>
    </row>
    <row r="18" spans="1:40" ht="14.95" thickBot="1" x14ac:dyDescent="0.3">
      <c r="A18" s="310"/>
      <c r="B18" s="311"/>
      <c r="C18" s="760" t="s">
        <v>107</v>
      </c>
      <c r="D18" s="761"/>
      <c r="E18" s="762"/>
      <c r="F18" s="422">
        <f t="shared" ref="F18:R18" si="4">SUM(F3:F15)</f>
        <v>370</v>
      </c>
      <c r="G18" s="422">
        <f t="shared" si="4"/>
        <v>258</v>
      </c>
      <c r="H18" s="422">
        <f t="shared" si="4"/>
        <v>3</v>
      </c>
      <c r="I18" s="422">
        <f t="shared" si="4"/>
        <v>0</v>
      </c>
      <c r="J18" s="422">
        <f t="shared" si="4"/>
        <v>42</v>
      </c>
      <c r="K18" s="422">
        <f t="shared" si="4"/>
        <v>28</v>
      </c>
      <c r="L18" s="422">
        <f t="shared" si="4"/>
        <v>3</v>
      </c>
      <c r="M18" s="422">
        <f t="shared" si="4"/>
        <v>29</v>
      </c>
      <c r="N18" s="422">
        <f t="shared" si="4"/>
        <v>10</v>
      </c>
      <c r="O18" s="422">
        <f t="shared" si="4"/>
        <v>3</v>
      </c>
      <c r="P18" s="422">
        <f t="shared" si="4"/>
        <v>1</v>
      </c>
      <c r="Q18" s="422">
        <f t="shared" si="4"/>
        <v>0</v>
      </c>
      <c r="R18" s="422">
        <f t="shared" si="4"/>
        <v>26</v>
      </c>
      <c r="S18" s="419"/>
      <c r="T18" s="419"/>
      <c r="U18" s="419"/>
      <c r="V18" s="419"/>
      <c r="W18" s="13"/>
      <c r="X18" s="447" t="s">
        <v>107</v>
      </c>
      <c r="Y18" s="422">
        <f t="shared" ref="Y18:AN18" si="5">SUM(Y3:Y15)</f>
        <v>13</v>
      </c>
      <c r="Z18" s="422">
        <f t="shared" si="5"/>
        <v>8</v>
      </c>
      <c r="AA18" s="422">
        <f t="shared" si="5"/>
        <v>0</v>
      </c>
      <c r="AB18" s="422">
        <f t="shared" si="5"/>
        <v>5</v>
      </c>
      <c r="AC18" s="420">
        <f t="shared" si="5"/>
        <v>5</v>
      </c>
      <c r="AD18" s="420">
        <f t="shared" si="5"/>
        <v>3</v>
      </c>
      <c r="AE18" s="420">
        <f t="shared" si="5"/>
        <v>0</v>
      </c>
      <c r="AF18" s="420">
        <f t="shared" si="5"/>
        <v>2</v>
      </c>
      <c r="AG18" s="421">
        <f t="shared" si="5"/>
        <v>8</v>
      </c>
      <c r="AH18" s="421">
        <f t="shared" si="5"/>
        <v>5</v>
      </c>
      <c r="AI18" s="421">
        <f t="shared" si="5"/>
        <v>0</v>
      </c>
      <c r="AJ18" s="421">
        <f t="shared" si="5"/>
        <v>3</v>
      </c>
      <c r="AK18" s="422">
        <f t="shared" si="5"/>
        <v>0</v>
      </c>
      <c r="AL18" s="422">
        <f t="shared" si="5"/>
        <v>0</v>
      </c>
      <c r="AM18" s="422">
        <f t="shared" si="5"/>
        <v>0</v>
      </c>
      <c r="AN18" s="422">
        <f t="shared" si="5"/>
        <v>0</v>
      </c>
    </row>
    <row r="19" spans="1:40" x14ac:dyDescent="0.25">
      <c r="A19" s="788" t="s">
        <v>183</v>
      </c>
      <c r="B19" s="743"/>
      <c r="C19" s="743"/>
      <c r="D19" s="743"/>
      <c r="E19" s="743"/>
      <c r="F19" s="743"/>
      <c r="G19" s="743"/>
      <c r="H19" s="743"/>
      <c r="I19" s="743"/>
      <c r="J19" s="743"/>
      <c r="K19" s="743"/>
      <c r="L19" s="743"/>
      <c r="M19" s="743"/>
      <c r="N19" s="743"/>
      <c r="O19" s="743"/>
      <c r="P19" s="743"/>
      <c r="Q19" s="743"/>
      <c r="R19" s="743"/>
    </row>
    <row r="20" spans="1:40" x14ac:dyDescent="0.25">
      <c r="A20" s="632" t="s">
        <v>616</v>
      </c>
      <c r="F20" s="14"/>
      <c r="G20" s="14"/>
      <c r="H20" s="13"/>
      <c r="I20" s="14"/>
      <c r="J20" s="14"/>
      <c r="K20" s="14"/>
      <c r="L20" s="14"/>
      <c r="M20" s="14"/>
      <c r="N20" s="14"/>
      <c r="O20" s="14"/>
      <c r="P20" s="14"/>
      <c r="Q20" s="14"/>
      <c r="R20" s="14"/>
    </row>
    <row r="21" spans="1:40" x14ac:dyDescent="0.25">
      <c r="A21" s="632" t="s">
        <v>650</v>
      </c>
      <c r="F21" s="14"/>
      <c r="G21" s="14"/>
      <c r="H21" s="13"/>
      <c r="I21" s="14"/>
      <c r="J21" s="14"/>
      <c r="K21" s="14"/>
      <c r="L21" s="14"/>
      <c r="M21" s="14"/>
      <c r="N21" s="14"/>
      <c r="O21" s="14"/>
      <c r="P21" s="14"/>
      <c r="Q21" s="14"/>
      <c r="R21" s="14"/>
    </row>
    <row r="22" spans="1:40" x14ac:dyDescent="0.25">
      <c r="A22" s="632" t="s">
        <v>688</v>
      </c>
      <c r="F22" s="14"/>
      <c r="G22" s="14"/>
      <c r="H22" s="13"/>
      <c r="I22" s="14"/>
      <c r="J22" s="14"/>
      <c r="K22" s="14"/>
      <c r="L22" s="14"/>
      <c r="M22" s="14"/>
      <c r="N22" s="14"/>
      <c r="O22" s="14"/>
      <c r="P22" s="14"/>
      <c r="Q22" s="14"/>
      <c r="R22" s="14"/>
    </row>
    <row r="23" spans="1:40" x14ac:dyDescent="0.25">
      <c r="A23" s="632" t="s">
        <v>710</v>
      </c>
      <c r="F23" s="14"/>
      <c r="G23" s="14"/>
      <c r="H23" s="13"/>
      <c r="I23" s="14"/>
      <c r="J23" s="14"/>
      <c r="K23" s="14"/>
      <c r="L23" s="14"/>
      <c r="M23" s="14"/>
      <c r="N23" s="14"/>
      <c r="O23" s="14"/>
      <c r="P23" s="14"/>
      <c r="Q23" s="14"/>
      <c r="R23" s="14"/>
    </row>
    <row r="24" spans="1:40" x14ac:dyDescent="0.25">
      <c r="A24" t="s">
        <v>742</v>
      </c>
      <c r="F24" s="14"/>
      <c r="G24" s="14"/>
      <c r="H24" s="13"/>
      <c r="I24" s="14"/>
      <c r="J24" s="14"/>
      <c r="K24" s="14"/>
      <c r="L24" s="14"/>
      <c r="M24" s="14"/>
      <c r="N24" s="14"/>
      <c r="O24" s="14"/>
      <c r="P24" s="14"/>
      <c r="Q24" s="14"/>
      <c r="R24" s="14"/>
    </row>
    <row r="25" spans="1:40" x14ac:dyDescent="0.25">
      <c r="A25" t="s">
        <v>727</v>
      </c>
      <c r="F25" s="14"/>
      <c r="G25" s="14"/>
      <c r="H25" s="13"/>
      <c r="I25" s="14"/>
      <c r="J25" s="14"/>
      <c r="K25" s="14"/>
      <c r="L25" s="14"/>
      <c r="M25" s="14"/>
      <c r="N25" s="14"/>
      <c r="O25" s="14"/>
      <c r="P25" s="14"/>
      <c r="Q25" s="14"/>
      <c r="R25" s="14"/>
    </row>
    <row r="26" spans="1:40" x14ac:dyDescent="0.25">
      <c r="A26" t="s">
        <v>711</v>
      </c>
    </row>
    <row r="27" spans="1:40" x14ac:dyDescent="0.25">
      <c r="A27" s="155"/>
      <c r="B27" t="s">
        <v>44</v>
      </c>
    </row>
    <row r="28" spans="1:40" x14ac:dyDescent="0.25">
      <c r="A28" s="153"/>
      <c r="B28" t="s">
        <v>42</v>
      </c>
    </row>
    <row r="29" spans="1:40" x14ac:dyDescent="0.25">
      <c r="A29" s="154"/>
      <c r="B29" t="s">
        <v>43</v>
      </c>
    </row>
    <row r="30" spans="1:40" x14ac:dyDescent="0.25">
      <c r="A30" s="15" t="s">
        <v>28</v>
      </c>
    </row>
  </sheetData>
  <mergeCells count="14">
    <mergeCell ref="AC1:AF1"/>
    <mergeCell ref="AG1:AJ1"/>
    <mergeCell ref="AK1:AN1"/>
    <mergeCell ref="P1:R1"/>
    <mergeCell ref="Y1:AB1"/>
    <mergeCell ref="A19:R19"/>
    <mergeCell ref="A1:C1"/>
    <mergeCell ref="E1:G1"/>
    <mergeCell ref="H1:I1"/>
    <mergeCell ref="J1:M1"/>
    <mergeCell ref="N1:O1"/>
    <mergeCell ref="C16:E16"/>
    <mergeCell ref="C18:E18"/>
    <mergeCell ref="C17:E17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T20"/>
  <sheetViews>
    <sheetView workbookViewId="0">
      <selection activeCell="S8" sqref="S8:X8"/>
    </sheetView>
  </sheetViews>
  <sheetFormatPr defaultRowHeight="14.3" x14ac:dyDescent="0.25"/>
  <cols>
    <col min="1" max="1" width="7.5" customWidth="1"/>
    <col min="2" max="2" width="4.5" bestFit="1" customWidth="1"/>
    <col min="3" max="3" width="11.5" customWidth="1"/>
    <col min="4" max="4" width="4.375" customWidth="1"/>
    <col min="5" max="5" width="3.625" customWidth="1"/>
    <col min="6" max="7" width="4" bestFit="1" customWidth="1"/>
    <col min="8" max="18" width="3.625" customWidth="1"/>
    <col min="19" max="20" width="6.375" customWidth="1"/>
    <col min="21" max="21" width="20.125" bestFit="1" customWidth="1"/>
    <col min="22" max="22" width="20.375" bestFit="1" customWidth="1"/>
    <col min="23" max="23" width="21.125" customWidth="1"/>
    <col min="24" max="24" width="24" bestFit="1" customWidth="1"/>
    <col min="25" max="28" width="4.375" customWidth="1"/>
    <col min="29" max="40" width="3.625" customWidth="1"/>
    <col min="42" max="42" width="13.125" bestFit="1" customWidth="1"/>
    <col min="45" max="45" width="13.125" bestFit="1" customWidth="1"/>
  </cols>
  <sheetData>
    <row r="1" spans="1:46" ht="14.95" customHeight="1" thickBot="1" x14ac:dyDescent="0.3">
      <c r="A1" s="957" t="s">
        <v>214</v>
      </c>
      <c r="B1" s="958"/>
      <c r="C1" s="958"/>
      <c r="D1" s="162"/>
      <c r="E1" s="959" t="s">
        <v>24</v>
      </c>
      <c r="F1" s="960"/>
      <c r="G1" s="961"/>
      <c r="H1" s="959" t="s">
        <v>23</v>
      </c>
      <c r="I1" s="961"/>
      <c r="J1" s="954" t="s">
        <v>6</v>
      </c>
      <c r="K1" s="955"/>
      <c r="L1" s="955"/>
      <c r="M1" s="956"/>
      <c r="N1" s="954" t="s">
        <v>7</v>
      </c>
      <c r="O1" s="956"/>
      <c r="P1" s="954" t="s">
        <v>25</v>
      </c>
      <c r="Q1" s="955"/>
      <c r="R1" s="956"/>
      <c r="S1" s="432" t="s">
        <v>8</v>
      </c>
      <c r="T1" s="432" t="s">
        <v>9</v>
      </c>
      <c r="U1" s="1" t="s">
        <v>10</v>
      </c>
      <c r="V1" s="6" t="s">
        <v>11</v>
      </c>
      <c r="W1" s="52" t="s">
        <v>26</v>
      </c>
      <c r="X1" s="163" t="s">
        <v>27</v>
      </c>
      <c r="Y1" s="948" t="s">
        <v>20</v>
      </c>
      <c r="Z1" s="949"/>
      <c r="AA1" s="949"/>
      <c r="AB1" s="950"/>
      <c r="AC1" s="948" t="s">
        <v>61</v>
      </c>
      <c r="AD1" s="949"/>
      <c r="AE1" s="949"/>
      <c r="AF1" s="950"/>
      <c r="AG1" s="948" t="s">
        <v>62</v>
      </c>
      <c r="AH1" s="949"/>
      <c r="AI1" s="949"/>
      <c r="AJ1" s="950"/>
      <c r="AK1" s="948" t="s">
        <v>63</v>
      </c>
      <c r="AL1" s="949"/>
      <c r="AM1" s="949"/>
      <c r="AN1" s="950"/>
      <c r="AP1" s="416" t="s">
        <v>162</v>
      </c>
      <c r="AQ1" s="397"/>
      <c r="AR1" s="397"/>
      <c r="AS1" s="416" t="s">
        <v>162</v>
      </c>
    </row>
    <row r="2" spans="1:46" ht="14.95" customHeight="1" thickBot="1" x14ac:dyDescent="0.3">
      <c r="A2" s="7" t="s">
        <v>19</v>
      </c>
      <c r="B2" s="8" t="s">
        <v>18</v>
      </c>
      <c r="C2" s="9" t="s">
        <v>17</v>
      </c>
      <c r="D2" s="10" t="s">
        <v>41</v>
      </c>
      <c r="E2" s="10" t="s">
        <v>16</v>
      </c>
      <c r="F2" s="10" t="s">
        <v>4</v>
      </c>
      <c r="G2" s="10" t="s">
        <v>5</v>
      </c>
      <c r="H2" s="11" t="s">
        <v>12</v>
      </c>
      <c r="I2" s="11" t="s">
        <v>3</v>
      </c>
      <c r="J2" s="11" t="s">
        <v>12</v>
      </c>
      <c r="K2" s="11" t="s">
        <v>13</v>
      </c>
      <c r="L2" s="11" t="s">
        <v>2</v>
      </c>
      <c r="M2" s="11" t="s">
        <v>14</v>
      </c>
      <c r="N2" s="11" t="s">
        <v>15</v>
      </c>
      <c r="O2" s="11" t="s">
        <v>16</v>
      </c>
      <c r="P2" s="11" t="s">
        <v>21</v>
      </c>
      <c r="Q2" s="11" t="s">
        <v>22</v>
      </c>
      <c r="R2" s="11" t="s">
        <v>12</v>
      </c>
      <c r="S2" s="2"/>
      <c r="T2" s="3"/>
      <c r="U2" s="4"/>
      <c r="V2" s="2"/>
      <c r="W2" s="53"/>
      <c r="X2" s="5"/>
      <c r="Y2" s="342" t="s">
        <v>0</v>
      </c>
      <c r="Z2" s="342" t="s">
        <v>1</v>
      </c>
      <c r="AA2" s="342" t="s">
        <v>2</v>
      </c>
      <c r="AB2" s="342" t="s">
        <v>3</v>
      </c>
      <c r="AC2" s="342" t="s">
        <v>0</v>
      </c>
      <c r="AD2" s="342" t="s">
        <v>1</v>
      </c>
      <c r="AE2" s="342" t="s">
        <v>2</v>
      </c>
      <c r="AF2" s="342" t="s">
        <v>3</v>
      </c>
      <c r="AG2" s="342" t="s">
        <v>0</v>
      </c>
      <c r="AH2" s="342" t="s">
        <v>1</v>
      </c>
      <c r="AI2" s="342" t="s">
        <v>2</v>
      </c>
      <c r="AJ2" s="342" t="s">
        <v>3</v>
      </c>
      <c r="AK2" s="342" t="s">
        <v>0</v>
      </c>
      <c r="AL2" s="342" t="s">
        <v>1</v>
      </c>
      <c r="AM2" s="342" t="s">
        <v>2</v>
      </c>
      <c r="AN2" s="342" t="s">
        <v>3</v>
      </c>
      <c r="AP2" s="367" t="s">
        <v>107</v>
      </c>
      <c r="AQ2" s="204"/>
      <c r="AS2" s="368" t="s">
        <v>130</v>
      </c>
      <c r="AT2" s="204"/>
    </row>
    <row r="3" spans="1:46" ht="14.95" customHeight="1" thickBot="1" x14ac:dyDescent="0.3">
      <c r="A3" s="501">
        <v>44744</v>
      </c>
      <c r="B3" s="503" t="s">
        <v>490</v>
      </c>
      <c r="C3" s="503" t="s">
        <v>31</v>
      </c>
      <c r="D3" s="504" t="s">
        <v>492</v>
      </c>
      <c r="E3" s="504" t="s">
        <v>3</v>
      </c>
      <c r="F3" s="504">
        <v>0</v>
      </c>
      <c r="G3" s="504">
        <v>36</v>
      </c>
      <c r="H3" s="504">
        <v>0</v>
      </c>
      <c r="I3" s="504">
        <v>0</v>
      </c>
      <c r="J3" s="504">
        <v>0</v>
      </c>
      <c r="K3" s="504">
        <v>0</v>
      </c>
      <c r="L3" s="504">
        <v>0</v>
      </c>
      <c r="M3" s="504">
        <v>0</v>
      </c>
      <c r="N3" s="504">
        <v>0</v>
      </c>
      <c r="O3" s="504">
        <v>0</v>
      </c>
      <c r="P3" s="504">
        <v>0</v>
      </c>
      <c r="Q3" s="504">
        <v>0</v>
      </c>
      <c r="R3" s="504">
        <v>5</v>
      </c>
      <c r="S3" s="511"/>
      <c r="T3" s="515" t="s">
        <v>495</v>
      </c>
      <c r="U3" s="513" t="s">
        <v>266</v>
      </c>
      <c r="V3" s="511" t="s">
        <v>358</v>
      </c>
      <c r="W3" s="506" t="s">
        <v>450</v>
      </c>
      <c r="X3" s="514" t="s">
        <v>494</v>
      </c>
      <c r="Y3" s="509">
        <v>1</v>
      </c>
      <c r="Z3" s="509">
        <v>0</v>
      </c>
      <c r="AA3" s="509">
        <v>0</v>
      </c>
      <c r="AB3" s="510">
        <v>1</v>
      </c>
      <c r="AC3" s="523">
        <v>0</v>
      </c>
      <c r="AD3" s="523">
        <v>0</v>
      </c>
      <c r="AE3" s="523">
        <v>0</v>
      </c>
      <c r="AF3" s="523">
        <v>0</v>
      </c>
      <c r="AG3" s="523">
        <v>1</v>
      </c>
      <c r="AH3" s="523">
        <v>0</v>
      </c>
      <c r="AI3" s="523">
        <v>0</v>
      </c>
      <c r="AJ3" s="523">
        <v>1</v>
      </c>
      <c r="AK3" s="523">
        <v>0</v>
      </c>
      <c r="AL3" s="523">
        <v>0</v>
      </c>
      <c r="AM3" s="523">
        <v>0</v>
      </c>
      <c r="AN3" s="523">
        <v>0</v>
      </c>
      <c r="AP3" s="386" t="s">
        <v>132</v>
      </c>
      <c r="AQ3" s="387">
        <f>Tongaalltestshistplayed</f>
        <v>297</v>
      </c>
      <c r="AS3" s="386" t="s">
        <v>132</v>
      </c>
      <c r="AT3" s="387">
        <f>TongaRWChistplayed</f>
        <v>29</v>
      </c>
    </row>
    <row r="4" spans="1:46" ht="14.95" customHeight="1" thickBot="1" x14ac:dyDescent="0.35">
      <c r="A4" s="582">
        <v>44751</v>
      </c>
      <c r="B4" s="583" t="s">
        <v>490</v>
      </c>
      <c r="C4" s="583" t="s">
        <v>120</v>
      </c>
      <c r="D4" s="566" t="s">
        <v>538</v>
      </c>
      <c r="E4" s="566" t="s">
        <v>3</v>
      </c>
      <c r="F4" s="566">
        <v>18</v>
      </c>
      <c r="G4" s="566">
        <v>34</v>
      </c>
      <c r="H4" s="566">
        <v>0</v>
      </c>
      <c r="I4" s="566">
        <v>0</v>
      </c>
      <c r="J4" s="566">
        <v>2</v>
      </c>
      <c r="K4" s="566">
        <v>1</v>
      </c>
      <c r="L4" s="566">
        <v>0</v>
      </c>
      <c r="M4" s="566">
        <v>2</v>
      </c>
      <c r="N4" s="566">
        <v>1</v>
      </c>
      <c r="O4" s="566">
        <v>0</v>
      </c>
      <c r="P4" s="566">
        <v>0</v>
      </c>
      <c r="Q4" s="566">
        <v>0</v>
      </c>
      <c r="R4" s="566">
        <v>5</v>
      </c>
      <c r="S4" s="584"/>
      <c r="T4" s="629" t="s">
        <v>281</v>
      </c>
      <c r="U4" s="585" t="s">
        <v>451</v>
      </c>
      <c r="V4" s="584" t="s">
        <v>358</v>
      </c>
      <c r="W4" s="579" t="s">
        <v>540</v>
      </c>
      <c r="X4" s="586" t="s">
        <v>541</v>
      </c>
      <c r="Y4" s="447">
        <v>1</v>
      </c>
      <c r="Z4" s="447">
        <v>0</v>
      </c>
      <c r="AA4" s="447">
        <v>0</v>
      </c>
      <c r="AB4" s="567">
        <v>1</v>
      </c>
      <c r="AC4" s="447">
        <v>0</v>
      </c>
      <c r="AD4" s="447">
        <v>0</v>
      </c>
      <c r="AE4" s="447">
        <v>0</v>
      </c>
      <c r="AF4" s="447">
        <v>0</v>
      </c>
      <c r="AG4" s="447">
        <v>0</v>
      </c>
      <c r="AH4" s="447">
        <v>0</v>
      </c>
      <c r="AI4" s="447">
        <v>0</v>
      </c>
      <c r="AJ4" s="447">
        <v>0</v>
      </c>
      <c r="AK4" s="447">
        <v>1</v>
      </c>
      <c r="AL4" s="447">
        <v>0</v>
      </c>
      <c r="AM4" s="447">
        <v>0</v>
      </c>
      <c r="AN4" s="447">
        <v>1</v>
      </c>
      <c r="AP4" s="388" t="s">
        <v>133</v>
      </c>
      <c r="AQ4" s="389">
        <f>Tongaalltestshistwon</f>
        <v>113</v>
      </c>
      <c r="AS4" s="388" t="s">
        <v>133</v>
      </c>
      <c r="AT4" s="389">
        <f>TongaRWChistwon</f>
        <v>8</v>
      </c>
    </row>
    <row r="5" spans="1:46" ht="14.95" customHeight="1" thickBot="1" x14ac:dyDescent="0.35">
      <c r="A5" s="582">
        <v>44765</v>
      </c>
      <c r="B5" s="583" t="s">
        <v>769</v>
      </c>
      <c r="C5" s="583" t="s">
        <v>543</v>
      </c>
      <c r="D5" s="566" t="s">
        <v>637</v>
      </c>
      <c r="E5" s="566" t="s">
        <v>1</v>
      </c>
      <c r="F5" s="566">
        <v>44</v>
      </c>
      <c r="G5" s="566">
        <v>22</v>
      </c>
      <c r="H5" s="566" t="s">
        <v>106</v>
      </c>
      <c r="I5" s="566" t="s">
        <v>106</v>
      </c>
      <c r="J5" s="566">
        <v>6</v>
      </c>
      <c r="K5" s="566">
        <v>4</v>
      </c>
      <c r="L5" s="566">
        <v>0</v>
      </c>
      <c r="M5" s="566">
        <v>2</v>
      </c>
      <c r="N5" s="566">
        <v>1</v>
      </c>
      <c r="O5" s="566">
        <v>0</v>
      </c>
      <c r="P5" s="566" t="s">
        <v>106</v>
      </c>
      <c r="Q5" s="566" t="s">
        <v>106</v>
      </c>
      <c r="R5" s="566">
        <v>3</v>
      </c>
      <c r="S5" s="584"/>
      <c r="T5" s="587" t="s">
        <v>641</v>
      </c>
      <c r="U5" s="585" t="s">
        <v>285</v>
      </c>
      <c r="V5" s="584" t="s">
        <v>642</v>
      </c>
      <c r="W5" s="579" t="s">
        <v>268</v>
      </c>
      <c r="X5" s="586" t="s">
        <v>451</v>
      </c>
      <c r="Y5" s="447">
        <v>1</v>
      </c>
      <c r="Z5" s="447">
        <v>1</v>
      </c>
      <c r="AA5" s="447">
        <v>0</v>
      </c>
      <c r="AB5" s="567">
        <v>0</v>
      </c>
      <c r="AC5" s="447">
        <v>0</v>
      </c>
      <c r="AD5" s="447">
        <v>0</v>
      </c>
      <c r="AE5" s="447">
        <v>0</v>
      </c>
      <c r="AF5" s="447">
        <v>0</v>
      </c>
      <c r="AG5" s="447">
        <v>0</v>
      </c>
      <c r="AH5" s="447">
        <v>0</v>
      </c>
      <c r="AI5" s="447">
        <v>0</v>
      </c>
      <c r="AJ5" s="447">
        <v>0</v>
      </c>
      <c r="AK5" s="447">
        <v>1</v>
      </c>
      <c r="AL5" s="447">
        <v>1</v>
      </c>
      <c r="AM5" s="447">
        <v>0</v>
      </c>
      <c r="AN5" s="447">
        <v>0</v>
      </c>
      <c r="AP5" s="388" t="s">
        <v>139</v>
      </c>
      <c r="AQ5" s="389">
        <f>Tongaalltestshistdrawn</f>
        <v>7</v>
      </c>
      <c r="AS5" s="388" t="s">
        <v>139</v>
      </c>
      <c r="AT5" s="389">
        <f>TongaRWChistdrawn</f>
        <v>0</v>
      </c>
    </row>
    <row r="6" spans="1:46" ht="14.95" customHeight="1" thickBot="1" x14ac:dyDescent="0.35">
      <c r="A6" s="501">
        <v>44870</v>
      </c>
      <c r="B6" s="503" t="s">
        <v>45</v>
      </c>
      <c r="C6" s="503" t="s">
        <v>124</v>
      </c>
      <c r="D6" s="504" t="s">
        <v>722</v>
      </c>
      <c r="E6" s="504" t="s">
        <v>1</v>
      </c>
      <c r="F6" s="504">
        <v>40</v>
      </c>
      <c r="G6" s="504">
        <v>6</v>
      </c>
      <c r="H6" s="504" t="s">
        <v>106</v>
      </c>
      <c r="I6" s="504" t="s">
        <v>106</v>
      </c>
      <c r="J6" s="504">
        <v>5</v>
      </c>
      <c r="K6" s="504">
        <v>3</v>
      </c>
      <c r="L6" s="504">
        <v>0</v>
      </c>
      <c r="M6" s="504">
        <v>3</v>
      </c>
      <c r="N6" s="504">
        <v>0</v>
      </c>
      <c r="O6" s="504">
        <v>0</v>
      </c>
      <c r="P6" s="504" t="s">
        <v>106</v>
      </c>
      <c r="Q6" s="504" t="s">
        <v>106</v>
      </c>
      <c r="R6" s="504">
        <v>0</v>
      </c>
      <c r="S6" s="511">
        <v>6000</v>
      </c>
      <c r="T6" s="512" t="s">
        <v>391</v>
      </c>
      <c r="U6" s="506" t="s">
        <v>285</v>
      </c>
      <c r="V6" s="511" t="s">
        <v>358</v>
      </c>
      <c r="W6" s="506" t="s">
        <v>278</v>
      </c>
      <c r="X6" s="514" t="s">
        <v>780</v>
      </c>
      <c r="Y6" s="509">
        <v>1</v>
      </c>
      <c r="Z6" s="509">
        <v>1</v>
      </c>
      <c r="AA6" s="509">
        <v>0</v>
      </c>
      <c r="AB6" s="510">
        <v>0</v>
      </c>
      <c r="AC6" s="509">
        <v>0</v>
      </c>
      <c r="AD6" s="509">
        <v>0</v>
      </c>
      <c r="AE6" s="509">
        <v>0</v>
      </c>
      <c r="AF6" s="509">
        <v>0</v>
      </c>
      <c r="AG6" s="509">
        <v>1</v>
      </c>
      <c r="AH6" s="509">
        <v>1</v>
      </c>
      <c r="AI6" s="509">
        <v>0</v>
      </c>
      <c r="AJ6" s="509">
        <v>0</v>
      </c>
      <c r="AK6" s="509">
        <v>0</v>
      </c>
      <c r="AL6" s="509">
        <v>0</v>
      </c>
      <c r="AM6" s="509">
        <v>0</v>
      </c>
      <c r="AN6" s="509">
        <v>0</v>
      </c>
      <c r="AP6" s="388" t="s">
        <v>134</v>
      </c>
      <c r="AQ6" s="389">
        <f>Tongaalltestshistlost</f>
        <v>177</v>
      </c>
      <c r="AS6" s="388" t="s">
        <v>134</v>
      </c>
      <c r="AT6" s="389">
        <f>TongaRWChistlost</f>
        <v>21</v>
      </c>
    </row>
    <row r="7" spans="1:46" ht="14.95" customHeight="1" thickBot="1" x14ac:dyDescent="0.35">
      <c r="A7" s="582">
        <v>44877</v>
      </c>
      <c r="B7" s="583" t="s">
        <v>45</v>
      </c>
      <c r="C7" s="583" t="s">
        <v>544</v>
      </c>
      <c r="D7" s="566" t="s">
        <v>193</v>
      </c>
      <c r="E7" s="566" t="s">
        <v>1</v>
      </c>
      <c r="F7" s="566">
        <v>39</v>
      </c>
      <c r="G7" s="566">
        <v>10</v>
      </c>
      <c r="H7" s="566" t="s">
        <v>106</v>
      </c>
      <c r="I7" s="566" t="s">
        <v>106</v>
      </c>
      <c r="J7" s="566">
        <v>5</v>
      </c>
      <c r="K7" s="566">
        <v>4</v>
      </c>
      <c r="L7" s="566">
        <v>0</v>
      </c>
      <c r="M7" s="566">
        <v>2</v>
      </c>
      <c r="N7" s="566">
        <v>1</v>
      </c>
      <c r="O7" s="566">
        <v>0</v>
      </c>
      <c r="P7" s="566" t="s">
        <v>106</v>
      </c>
      <c r="Q7" s="566" t="s">
        <v>106</v>
      </c>
      <c r="R7" s="566">
        <v>1</v>
      </c>
      <c r="S7" s="584"/>
      <c r="T7" s="587" t="s">
        <v>799</v>
      </c>
      <c r="U7" s="585" t="s">
        <v>800</v>
      </c>
      <c r="V7" s="584" t="s">
        <v>283</v>
      </c>
      <c r="W7" s="579" t="s">
        <v>374</v>
      </c>
      <c r="X7" s="586" t="s">
        <v>801</v>
      </c>
      <c r="Y7" s="447">
        <v>1</v>
      </c>
      <c r="Z7" s="447">
        <v>1</v>
      </c>
      <c r="AA7" s="447">
        <v>0</v>
      </c>
      <c r="AB7" s="567">
        <v>0</v>
      </c>
      <c r="AC7" s="695">
        <v>0</v>
      </c>
      <c r="AD7" s="695">
        <v>0</v>
      </c>
      <c r="AE7" s="695">
        <v>0</v>
      </c>
      <c r="AF7" s="695">
        <v>0</v>
      </c>
      <c r="AG7" s="695">
        <v>0</v>
      </c>
      <c r="AH7" s="695">
        <v>0</v>
      </c>
      <c r="AI7" s="695">
        <v>0</v>
      </c>
      <c r="AJ7" s="695">
        <v>0</v>
      </c>
      <c r="AK7" s="695">
        <v>1</v>
      </c>
      <c r="AL7" s="695">
        <v>1</v>
      </c>
      <c r="AM7" s="695">
        <v>0</v>
      </c>
      <c r="AN7" s="695">
        <v>0</v>
      </c>
      <c r="AP7" s="388" t="s">
        <v>140</v>
      </c>
      <c r="AQ7" s="389">
        <f>Tongaalltestshistptsscored</f>
        <v>5463</v>
      </c>
      <c r="AS7" s="388" t="s">
        <v>140</v>
      </c>
      <c r="AT7" s="389">
        <f>TongaRWChistptsscored</f>
        <v>472</v>
      </c>
    </row>
    <row r="8" spans="1:46" ht="14.95" customHeight="1" thickBot="1" x14ac:dyDescent="0.35">
      <c r="A8" s="582">
        <v>44884</v>
      </c>
      <c r="B8" s="583" t="s">
        <v>45</v>
      </c>
      <c r="C8" s="583" t="s">
        <v>105</v>
      </c>
      <c r="D8" s="566" t="s">
        <v>193</v>
      </c>
      <c r="E8" s="566" t="s">
        <v>1</v>
      </c>
      <c r="F8" s="566">
        <v>43</v>
      </c>
      <c r="G8" s="566">
        <v>19</v>
      </c>
      <c r="H8" s="566" t="s">
        <v>106</v>
      </c>
      <c r="I8" s="566" t="s">
        <v>106</v>
      </c>
      <c r="J8" s="566">
        <v>7</v>
      </c>
      <c r="K8" s="566">
        <v>4</v>
      </c>
      <c r="L8" s="566">
        <v>0</v>
      </c>
      <c r="M8" s="566">
        <v>0</v>
      </c>
      <c r="N8" s="566">
        <v>3</v>
      </c>
      <c r="O8" s="566">
        <v>0</v>
      </c>
      <c r="P8" s="566" t="s">
        <v>106</v>
      </c>
      <c r="Q8" s="566" t="s">
        <v>106</v>
      </c>
      <c r="R8" s="566">
        <v>3</v>
      </c>
      <c r="S8" s="579"/>
      <c r="T8" s="621" t="s">
        <v>866</v>
      </c>
      <c r="U8" s="579" t="s">
        <v>269</v>
      </c>
      <c r="V8" s="579" t="s">
        <v>808</v>
      </c>
      <c r="W8" s="579" t="s">
        <v>800</v>
      </c>
      <c r="X8" s="579" t="s">
        <v>557</v>
      </c>
      <c r="Y8" s="447">
        <v>1</v>
      </c>
      <c r="Z8" s="447">
        <v>1</v>
      </c>
      <c r="AA8" s="447">
        <v>0</v>
      </c>
      <c r="AB8" s="567">
        <v>0</v>
      </c>
      <c r="AC8" s="447">
        <v>0</v>
      </c>
      <c r="AD8" s="447">
        <v>0</v>
      </c>
      <c r="AE8" s="447">
        <v>0</v>
      </c>
      <c r="AF8" s="447">
        <v>0</v>
      </c>
      <c r="AG8" s="447">
        <v>0</v>
      </c>
      <c r="AH8" s="447">
        <v>0</v>
      </c>
      <c r="AI8" s="447">
        <v>0</v>
      </c>
      <c r="AJ8" s="447">
        <v>0</v>
      </c>
      <c r="AK8" s="447">
        <v>1</v>
      </c>
      <c r="AL8" s="447">
        <v>1</v>
      </c>
      <c r="AM8" s="447">
        <v>0</v>
      </c>
      <c r="AN8" s="447">
        <v>0</v>
      </c>
      <c r="AP8" s="388" t="s">
        <v>141</v>
      </c>
      <c r="AQ8" s="389">
        <f>Tongaalltestshistptsagainst</f>
        <v>7024</v>
      </c>
      <c r="AS8" s="388" t="s">
        <v>141</v>
      </c>
      <c r="AT8" s="389">
        <f>TongaRWChistptscon</f>
        <v>966</v>
      </c>
    </row>
    <row r="9" spans="1:46" ht="14.95" customHeight="1" thickBot="1" x14ac:dyDescent="0.3">
      <c r="A9" s="310"/>
      <c r="B9" s="311"/>
      <c r="C9" s="951" t="s">
        <v>600</v>
      </c>
      <c r="D9" s="952"/>
      <c r="E9" s="953"/>
      <c r="F9" s="454">
        <f t="shared" ref="F9:R9" si="0">SUM(F3:F4)</f>
        <v>18</v>
      </c>
      <c r="G9" s="454">
        <f t="shared" si="0"/>
        <v>70</v>
      </c>
      <c r="H9" s="454">
        <f t="shared" si="0"/>
        <v>0</v>
      </c>
      <c r="I9" s="454">
        <f t="shared" si="0"/>
        <v>0</v>
      </c>
      <c r="J9" s="454">
        <f t="shared" si="0"/>
        <v>2</v>
      </c>
      <c r="K9" s="454">
        <f t="shared" si="0"/>
        <v>1</v>
      </c>
      <c r="L9" s="454">
        <f t="shared" si="0"/>
        <v>0</v>
      </c>
      <c r="M9" s="454">
        <f t="shared" si="0"/>
        <v>2</v>
      </c>
      <c r="N9" s="454">
        <f t="shared" si="0"/>
        <v>1</v>
      </c>
      <c r="O9" s="454">
        <f t="shared" si="0"/>
        <v>0</v>
      </c>
      <c r="P9" s="454">
        <f t="shared" si="0"/>
        <v>0</v>
      </c>
      <c r="Q9" s="454">
        <f t="shared" si="0"/>
        <v>0</v>
      </c>
      <c r="R9" s="454">
        <f t="shared" si="0"/>
        <v>10</v>
      </c>
      <c r="S9" s="312"/>
      <c r="T9" s="312"/>
      <c r="U9" s="312"/>
      <c r="V9" s="312"/>
      <c r="W9" s="313"/>
      <c r="X9" s="597" t="s">
        <v>600</v>
      </c>
      <c r="Y9" s="454">
        <f t="shared" ref="Y9:AN9" si="1">SUM(Y3:Y4)</f>
        <v>2</v>
      </c>
      <c r="Z9" s="454">
        <f t="shared" si="1"/>
        <v>0</v>
      </c>
      <c r="AA9" s="412">
        <f t="shared" si="1"/>
        <v>0</v>
      </c>
      <c r="AB9" s="412">
        <f t="shared" si="1"/>
        <v>2</v>
      </c>
      <c r="AC9" s="410">
        <f t="shared" si="1"/>
        <v>0</v>
      </c>
      <c r="AD9" s="410">
        <f t="shared" si="1"/>
        <v>0</v>
      </c>
      <c r="AE9" s="410">
        <f t="shared" si="1"/>
        <v>0</v>
      </c>
      <c r="AF9" s="410">
        <f t="shared" si="1"/>
        <v>0</v>
      </c>
      <c r="AG9" s="411">
        <f t="shared" si="1"/>
        <v>1</v>
      </c>
      <c r="AH9" s="411">
        <f t="shared" si="1"/>
        <v>0</v>
      </c>
      <c r="AI9" s="411">
        <f t="shared" si="1"/>
        <v>0</v>
      </c>
      <c r="AJ9" s="411">
        <f t="shared" si="1"/>
        <v>1</v>
      </c>
      <c r="AK9" s="412">
        <f t="shared" si="1"/>
        <v>1</v>
      </c>
      <c r="AL9" s="412">
        <f t="shared" si="1"/>
        <v>0</v>
      </c>
      <c r="AM9" s="412">
        <f t="shared" si="1"/>
        <v>0</v>
      </c>
      <c r="AN9" s="412">
        <f t="shared" si="1"/>
        <v>1</v>
      </c>
      <c r="AP9" s="388" t="s">
        <v>131</v>
      </c>
      <c r="AQ9" s="389">
        <f>Tongaalltestshisttriesscored</f>
        <v>655</v>
      </c>
      <c r="AS9" s="388" t="s">
        <v>131</v>
      </c>
      <c r="AT9" s="389">
        <f>TongaRWChisttriesscored</f>
        <v>53</v>
      </c>
    </row>
    <row r="10" spans="1:46" ht="14.95" thickBot="1" x14ac:dyDescent="0.3">
      <c r="A10" s="310"/>
      <c r="B10" s="311"/>
      <c r="C10" s="771" t="s">
        <v>639</v>
      </c>
      <c r="D10" s="772"/>
      <c r="E10" s="773"/>
      <c r="F10" s="598">
        <f>F5</f>
        <v>44</v>
      </c>
      <c r="G10" s="598">
        <f>G5</f>
        <v>22</v>
      </c>
      <c r="H10" s="598" t="s">
        <v>106</v>
      </c>
      <c r="I10" s="598" t="s">
        <v>106</v>
      </c>
      <c r="J10" s="598">
        <f t="shared" ref="J10:O10" si="2">J5</f>
        <v>6</v>
      </c>
      <c r="K10" s="598">
        <f t="shared" si="2"/>
        <v>4</v>
      </c>
      <c r="L10" s="598">
        <f t="shared" si="2"/>
        <v>0</v>
      </c>
      <c r="M10" s="598">
        <f t="shared" si="2"/>
        <v>2</v>
      </c>
      <c r="N10" s="598">
        <f t="shared" si="2"/>
        <v>1</v>
      </c>
      <c r="O10" s="598">
        <f t="shared" si="2"/>
        <v>0</v>
      </c>
      <c r="P10" s="598" t="s">
        <v>106</v>
      </c>
      <c r="Q10" s="598" t="s">
        <v>106</v>
      </c>
      <c r="R10" s="598">
        <f>R5</f>
        <v>3</v>
      </c>
      <c r="S10" s="599"/>
      <c r="T10" s="599"/>
      <c r="U10" s="599"/>
      <c r="V10" s="599"/>
      <c r="W10" s="600"/>
      <c r="X10" s="601" t="s">
        <v>640</v>
      </c>
      <c r="Y10" s="598">
        <f t="shared" ref="Y10:AN10" si="3">Y5</f>
        <v>1</v>
      </c>
      <c r="Z10" s="598">
        <f t="shared" si="3"/>
        <v>1</v>
      </c>
      <c r="AA10" s="602">
        <f t="shared" si="3"/>
        <v>0</v>
      </c>
      <c r="AB10" s="602">
        <f t="shared" si="3"/>
        <v>0</v>
      </c>
      <c r="AC10" s="603">
        <f t="shared" si="3"/>
        <v>0</v>
      </c>
      <c r="AD10" s="603">
        <f t="shared" si="3"/>
        <v>0</v>
      </c>
      <c r="AE10" s="603">
        <f t="shared" si="3"/>
        <v>0</v>
      </c>
      <c r="AF10" s="603">
        <f t="shared" si="3"/>
        <v>0</v>
      </c>
      <c r="AG10" s="604">
        <f t="shared" si="3"/>
        <v>0</v>
      </c>
      <c r="AH10" s="604">
        <f t="shared" si="3"/>
        <v>0</v>
      </c>
      <c r="AI10" s="604">
        <f t="shared" si="3"/>
        <v>0</v>
      </c>
      <c r="AJ10" s="604">
        <f t="shared" si="3"/>
        <v>0</v>
      </c>
      <c r="AK10" s="602">
        <f t="shared" si="3"/>
        <v>1</v>
      </c>
      <c r="AL10" s="602">
        <f t="shared" si="3"/>
        <v>1</v>
      </c>
      <c r="AM10" s="602">
        <f t="shared" si="3"/>
        <v>0</v>
      </c>
      <c r="AN10" s="602">
        <f t="shared" si="3"/>
        <v>0</v>
      </c>
    </row>
    <row r="11" spans="1:46" ht="15.8" customHeight="1" thickBot="1" x14ac:dyDescent="0.3">
      <c r="A11" s="310"/>
      <c r="B11" s="311"/>
      <c r="C11" s="760" t="s">
        <v>107</v>
      </c>
      <c r="D11" s="761"/>
      <c r="E11" s="762"/>
      <c r="F11" s="422">
        <f t="shared" ref="F11:R11" si="4">SUM(F3:F8)</f>
        <v>184</v>
      </c>
      <c r="G11" s="422">
        <f t="shared" si="4"/>
        <v>127</v>
      </c>
      <c r="H11" s="422">
        <f t="shared" si="4"/>
        <v>0</v>
      </c>
      <c r="I11" s="422">
        <f t="shared" si="4"/>
        <v>0</v>
      </c>
      <c r="J11" s="422">
        <f t="shared" si="4"/>
        <v>25</v>
      </c>
      <c r="K11" s="422">
        <f t="shared" si="4"/>
        <v>16</v>
      </c>
      <c r="L11" s="422">
        <f t="shared" si="4"/>
        <v>0</v>
      </c>
      <c r="M11" s="422">
        <f t="shared" si="4"/>
        <v>9</v>
      </c>
      <c r="N11" s="422">
        <f t="shared" si="4"/>
        <v>6</v>
      </c>
      <c r="O11" s="422">
        <f t="shared" si="4"/>
        <v>0</v>
      </c>
      <c r="P11" s="422">
        <f t="shared" si="4"/>
        <v>0</v>
      </c>
      <c r="Q11" s="422">
        <f t="shared" si="4"/>
        <v>0</v>
      </c>
      <c r="R11" s="422">
        <f t="shared" si="4"/>
        <v>17</v>
      </c>
      <c r="S11" s="419"/>
      <c r="T11" s="419"/>
      <c r="U11" s="419"/>
      <c r="V11" s="419"/>
      <c r="W11" s="13"/>
      <c r="X11" s="447" t="s">
        <v>107</v>
      </c>
      <c r="Y11" s="422">
        <f t="shared" ref="Y11:AN11" si="5">SUM(Y3:Y8)</f>
        <v>6</v>
      </c>
      <c r="Z11" s="422">
        <f t="shared" si="5"/>
        <v>4</v>
      </c>
      <c r="AA11" s="422">
        <f t="shared" si="5"/>
        <v>0</v>
      </c>
      <c r="AB11" s="422">
        <f t="shared" si="5"/>
        <v>2</v>
      </c>
      <c r="AC11" s="420">
        <f t="shared" si="5"/>
        <v>0</v>
      </c>
      <c r="AD11" s="420">
        <f t="shared" si="5"/>
        <v>0</v>
      </c>
      <c r="AE11" s="420">
        <f t="shared" si="5"/>
        <v>0</v>
      </c>
      <c r="AF11" s="420">
        <f t="shared" si="5"/>
        <v>0</v>
      </c>
      <c r="AG11" s="421">
        <f t="shared" si="5"/>
        <v>2</v>
      </c>
      <c r="AH11" s="421">
        <f t="shared" si="5"/>
        <v>1</v>
      </c>
      <c r="AI11" s="421">
        <f t="shared" si="5"/>
        <v>0</v>
      </c>
      <c r="AJ11" s="421">
        <f t="shared" si="5"/>
        <v>1</v>
      </c>
      <c r="AK11" s="422">
        <f t="shared" si="5"/>
        <v>4</v>
      </c>
      <c r="AL11" s="422">
        <f t="shared" si="5"/>
        <v>3</v>
      </c>
      <c r="AM11" s="422">
        <f t="shared" si="5"/>
        <v>0</v>
      </c>
      <c r="AN11" s="422">
        <f t="shared" si="5"/>
        <v>1</v>
      </c>
    </row>
    <row r="12" spans="1:46" x14ac:dyDescent="0.25">
      <c r="A12" s="788" t="s">
        <v>539</v>
      </c>
      <c r="B12" s="788"/>
      <c r="C12" s="788"/>
      <c r="D12" s="788"/>
      <c r="E12" s="788"/>
      <c r="F12" s="788"/>
      <c r="G12" s="788"/>
      <c r="H12" s="788"/>
      <c r="I12" s="788"/>
      <c r="J12" s="788"/>
      <c r="K12" s="788"/>
      <c r="L12" s="788"/>
      <c r="M12" s="788"/>
      <c r="N12" s="788"/>
      <c r="O12" s="788"/>
      <c r="P12" s="788"/>
      <c r="Q12" s="788"/>
      <c r="R12" s="788"/>
      <c r="S12" s="788"/>
      <c r="T12" s="788"/>
      <c r="U12" s="788"/>
      <c r="V12" s="788"/>
      <c r="W12" s="788"/>
      <c r="X12" s="788"/>
      <c r="Y12" s="788"/>
      <c r="Z12" s="788"/>
      <c r="AA12" s="788"/>
      <c r="AB12" s="788"/>
      <c r="AC12" s="788"/>
      <c r="AD12" s="788"/>
      <c r="AE12" s="788"/>
      <c r="AF12" s="788"/>
      <c r="AG12" s="788"/>
      <c r="AH12" s="788"/>
      <c r="AI12" s="788"/>
      <c r="AJ12" s="788"/>
      <c r="AK12" s="788"/>
      <c r="AL12" s="788"/>
      <c r="AM12" s="788"/>
      <c r="AN12" s="788"/>
    </row>
    <row r="13" spans="1:46" x14ac:dyDescent="0.25">
      <c r="A13" s="788" t="s">
        <v>723</v>
      </c>
      <c r="B13" s="964"/>
      <c r="C13" s="964"/>
      <c r="D13" s="964"/>
      <c r="E13" s="964"/>
      <c r="F13" s="964"/>
      <c r="G13" s="964"/>
      <c r="H13" s="964"/>
      <c r="I13" s="964"/>
      <c r="J13" s="964"/>
      <c r="K13" s="964"/>
      <c r="L13" s="964"/>
      <c r="M13" s="964"/>
      <c r="N13" s="964"/>
      <c r="O13" s="964"/>
      <c r="P13" s="964"/>
      <c r="Q13" s="964"/>
      <c r="R13" s="964"/>
      <c r="S13" s="964"/>
      <c r="T13" s="964"/>
      <c r="U13" s="964"/>
      <c r="V13" s="964"/>
      <c r="W13" s="964"/>
      <c r="X13" s="964"/>
      <c r="Y13" s="964"/>
      <c r="Z13" s="964"/>
      <c r="AA13" s="964"/>
      <c r="AB13" s="964"/>
      <c r="AC13" s="964"/>
      <c r="AD13" s="964"/>
      <c r="AE13" s="964"/>
      <c r="AF13" s="964"/>
      <c r="AG13" s="964"/>
      <c r="AH13" s="964"/>
      <c r="AI13" s="964"/>
      <c r="AJ13" s="964"/>
      <c r="AK13" s="964"/>
      <c r="AL13" s="964"/>
      <c r="AM13" s="964"/>
      <c r="AN13" s="964"/>
    </row>
    <row r="14" spans="1:46" x14ac:dyDescent="0.25">
      <c r="A14" s="788" t="s">
        <v>218</v>
      </c>
      <c r="B14" s="964"/>
      <c r="C14" s="964"/>
      <c r="D14" s="964"/>
      <c r="E14" s="964"/>
      <c r="F14" s="964"/>
      <c r="G14" s="964"/>
      <c r="H14" s="964"/>
      <c r="I14" s="964"/>
      <c r="J14" s="964"/>
      <c r="K14" s="964"/>
      <c r="L14" s="964"/>
      <c r="M14" s="964"/>
      <c r="N14" s="964"/>
      <c r="O14" s="964"/>
      <c r="P14" s="964"/>
      <c r="Q14" s="964"/>
      <c r="R14" s="964"/>
      <c r="S14" s="964"/>
      <c r="T14" s="964"/>
      <c r="U14" s="964"/>
      <c r="V14" s="964"/>
      <c r="W14" s="964"/>
      <c r="X14" s="964"/>
      <c r="Y14" s="964"/>
      <c r="Z14" s="964"/>
      <c r="AA14" s="964"/>
      <c r="AB14" s="964"/>
      <c r="AC14" s="964"/>
      <c r="AD14" s="964"/>
      <c r="AE14" s="964"/>
      <c r="AF14" s="964"/>
      <c r="AG14" s="964"/>
      <c r="AH14" s="964"/>
      <c r="AI14" s="964"/>
      <c r="AJ14" s="964"/>
      <c r="AK14" s="964"/>
      <c r="AL14" s="964"/>
      <c r="AM14" s="964"/>
      <c r="AN14" s="964"/>
    </row>
    <row r="15" spans="1:46" x14ac:dyDescent="0.25">
      <c r="A15" s="962" t="s">
        <v>643</v>
      </c>
      <c r="B15" s="963"/>
      <c r="C15" s="963"/>
      <c r="D15" s="963"/>
      <c r="E15" s="963"/>
      <c r="F15" s="963"/>
      <c r="G15" s="963"/>
      <c r="H15" s="963"/>
      <c r="I15" s="963"/>
      <c r="J15" s="963"/>
      <c r="K15" s="963"/>
      <c r="L15" s="963"/>
      <c r="M15" s="963"/>
      <c r="N15" s="963"/>
      <c r="O15" s="963"/>
      <c r="P15" s="963"/>
      <c r="Q15" s="963"/>
      <c r="R15" s="963"/>
      <c r="S15" s="963"/>
      <c r="T15" s="963"/>
      <c r="U15" s="963"/>
      <c r="V15" s="963"/>
      <c r="W15" s="963"/>
      <c r="X15" s="963"/>
      <c r="Y15" s="963"/>
      <c r="Z15" s="963"/>
      <c r="AA15" s="963"/>
      <c r="AB15" s="963"/>
      <c r="AC15" s="963"/>
      <c r="AD15" s="963"/>
      <c r="AE15" s="963"/>
      <c r="AF15" s="963"/>
      <c r="AG15" s="963"/>
      <c r="AH15" s="963"/>
      <c r="AI15" s="963"/>
      <c r="AJ15" s="963"/>
      <c r="AK15" s="963"/>
      <c r="AL15" s="963"/>
      <c r="AM15" s="963"/>
      <c r="AN15" s="963"/>
    </row>
    <row r="16" spans="1:46" x14ac:dyDescent="0.25">
      <c r="A16" s="632" t="s">
        <v>491</v>
      </c>
      <c r="F16" s="14"/>
      <c r="G16" s="14"/>
      <c r="H16" s="13"/>
      <c r="I16" s="14"/>
      <c r="J16" s="14"/>
      <c r="K16" s="14"/>
      <c r="L16" s="14"/>
      <c r="M16" s="14"/>
      <c r="N16" s="14"/>
      <c r="O16" s="14"/>
      <c r="P16" s="14"/>
      <c r="Q16" s="14"/>
      <c r="R16" s="14"/>
    </row>
    <row r="17" spans="1:2" x14ac:dyDescent="0.25">
      <c r="A17" s="155"/>
      <c r="B17" t="s">
        <v>44</v>
      </c>
    </row>
    <row r="18" spans="1:2" x14ac:dyDescent="0.25">
      <c r="A18" s="153"/>
      <c r="B18" t="s">
        <v>42</v>
      </c>
    </row>
    <row r="19" spans="1:2" x14ac:dyDescent="0.25">
      <c r="A19" s="154"/>
      <c r="B19" t="s">
        <v>43</v>
      </c>
    </row>
    <row r="20" spans="1:2" x14ac:dyDescent="0.25">
      <c r="A20" s="15" t="s">
        <v>28</v>
      </c>
    </row>
  </sheetData>
  <mergeCells count="17">
    <mergeCell ref="A15:AN15"/>
    <mergeCell ref="A12:AN12"/>
    <mergeCell ref="C10:E10"/>
    <mergeCell ref="A14:AN14"/>
    <mergeCell ref="C11:E11"/>
    <mergeCell ref="A13:AN13"/>
    <mergeCell ref="AG1:AJ1"/>
    <mergeCell ref="AK1:AN1"/>
    <mergeCell ref="AC1:AF1"/>
    <mergeCell ref="C9:E9"/>
    <mergeCell ref="Y1:AB1"/>
    <mergeCell ref="P1:R1"/>
    <mergeCell ref="A1:C1"/>
    <mergeCell ref="E1:G1"/>
    <mergeCell ref="H1:I1"/>
    <mergeCell ref="J1:M1"/>
    <mergeCell ref="N1:O1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T19"/>
  <sheetViews>
    <sheetView tabSelected="1" workbookViewId="0">
      <selection activeCell="B7" sqref="B7"/>
    </sheetView>
  </sheetViews>
  <sheetFormatPr defaultRowHeight="14.3" x14ac:dyDescent="0.25"/>
  <cols>
    <col min="1" max="1" width="7.5" customWidth="1"/>
    <col min="2" max="2" width="4.5" bestFit="1" customWidth="1"/>
    <col min="3" max="3" width="11.5" customWidth="1"/>
    <col min="4" max="4" width="5" customWidth="1"/>
    <col min="5" max="5" width="3.625" customWidth="1"/>
    <col min="6" max="6" width="4" bestFit="1" customWidth="1"/>
    <col min="7" max="18" width="3.625" customWidth="1"/>
    <col min="19" max="20" width="6.375" customWidth="1"/>
    <col min="21" max="21" width="27.5" customWidth="1"/>
    <col min="22" max="22" width="24.125" bestFit="1" customWidth="1"/>
    <col min="23" max="23" width="27.5" customWidth="1"/>
    <col min="24" max="24" width="25.875" bestFit="1" customWidth="1"/>
    <col min="25" max="28" width="4.375" customWidth="1"/>
    <col min="29" max="40" width="3.625" customWidth="1"/>
    <col min="42" max="42" width="13.125" bestFit="1" customWidth="1"/>
    <col min="45" max="45" width="13.125" bestFit="1" customWidth="1"/>
  </cols>
  <sheetData>
    <row r="1" spans="1:46" ht="14.95" customHeight="1" thickBot="1" x14ac:dyDescent="0.3">
      <c r="A1" s="965" t="s">
        <v>215</v>
      </c>
      <c r="B1" s="966"/>
      <c r="C1" s="966"/>
      <c r="D1" s="160"/>
      <c r="E1" s="967" t="s">
        <v>24</v>
      </c>
      <c r="F1" s="968"/>
      <c r="G1" s="969"/>
      <c r="H1" s="967" t="s">
        <v>23</v>
      </c>
      <c r="I1" s="969"/>
      <c r="J1" s="970" t="s">
        <v>6</v>
      </c>
      <c r="K1" s="971"/>
      <c r="L1" s="971"/>
      <c r="M1" s="972"/>
      <c r="N1" s="970" t="s">
        <v>7</v>
      </c>
      <c r="O1" s="972"/>
      <c r="P1" s="970" t="s">
        <v>25</v>
      </c>
      <c r="Q1" s="971"/>
      <c r="R1" s="972"/>
      <c r="S1" s="128" t="s">
        <v>8</v>
      </c>
      <c r="T1" s="128" t="s">
        <v>9</v>
      </c>
      <c r="U1" s="129" t="s">
        <v>10</v>
      </c>
      <c r="V1" s="128" t="s">
        <v>11</v>
      </c>
      <c r="W1" s="130" t="s">
        <v>26</v>
      </c>
      <c r="X1" s="164" t="s">
        <v>27</v>
      </c>
      <c r="Y1" s="973" t="s">
        <v>20</v>
      </c>
      <c r="Z1" s="753"/>
      <c r="AA1" s="753"/>
      <c r="AB1" s="754"/>
      <c r="AC1" s="974" t="s">
        <v>61</v>
      </c>
      <c r="AD1" s="756"/>
      <c r="AE1" s="756"/>
      <c r="AF1" s="756"/>
      <c r="AG1" s="973" t="s">
        <v>62</v>
      </c>
      <c r="AH1" s="753"/>
      <c r="AI1" s="753"/>
      <c r="AJ1" s="754"/>
      <c r="AK1" s="973" t="s">
        <v>63</v>
      </c>
      <c r="AL1" s="753"/>
      <c r="AM1" s="753"/>
      <c r="AN1" s="754"/>
      <c r="AP1" s="418" t="s">
        <v>60</v>
      </c>
      <c r="AQ1" s="397"/>
      <c r="AR1" s="397"/>
      <c r="AS1" s="418" t="s">
        <v>60</v>
      </c>
    </row>
    <row r="2" spans="1:46" ht="14.95" customHeight="1" thickBot="1" x14ac:dyDescent="0.3">
      <c r="A2" s="131" t="s">
        <v>19</v>
      </c>
      <c r="B2" s="132" t="s">
        <v>18</v>
      </c>
      <c r="C2" s="133" t="s">
        <v>17</v>
      </c>
      <c r="D2" s="134" t="s">
        <v>41</v>
      </c>
      <c r="E2" s="134" t="s">
        <v>16</v>
      </c>
      <c r="F2" s="134" t="s">
        <v>4</v>
      </c>
      <c r="G2" s="134" t="s">
        <v>5</v>
      </c>
      <c r="H2" s="135" t="s">
        <v>12</v>
      </c>
      <c r="I2" s="135" t="s">
        <v>3</v>
      </c>
      <c r="J2" s="135" t="s">
        <v>12</v>
      </c>
      <c r="K2" s="135" t="s">
        <v>13</v>
      </c>
      <c r="L2" s="135" t="s">
        <v>2</v>
      </c>
      <c r="M2" s="135" t="s">
        <v>14</v>
      </c>
      <c r="N2" s="135" t="s">
        <v>15</v>
      </c>
      <c r="O2" s="135" t="s">
        <v>16</v>
      </c>
      <c r="P2" s="135" t="s">
        <v>21</v>
      </c>
      <c r="Q2" s="135" t="s">
        <v>22</v>
      </c>
      <c r="R2" s="135" t="s">
        <v>12</v>
      </c>
      <c r="S2" s="136"/>
      <c r="T2" s="137"/>
      <c r="U2" s="138"/>
      <c r="V2" s="136"/>
      <c r="W2" s="174"/>
      <c r="X2" s="139"/>
      <c r="Y2" s="424" t="s">
        <v>0</v>
      </c>
      <c r="Z2" s="424" t="s">
        <v>1</v>
      </c>
      <c r="AA2" s="424" t="s">
        <v>2</v>
      </c>
      <c r="AB2" s="424" t="s">
        <v>3</v>
      </c>
      <c r="AC2" s="424" t="s">
        <v>0</v>
      </c>
      <c r="AD2" s="424" t="s">
        <v>1</v>
      </c>
      <c r="AE2" s="424" t="s">
        <v>2</v>
      </c>
      <c r="AF2" s="424" t="s">
        <v>3</v>
      </c>
      <c r="AG2" s="424" t="s">
        <v>0</v>
      </c>
      <c r="AH2" s="424" t="s">
        <v>1</v>
      </c>
      <c r="AI2" s="424" t="s">
        <v>2</v>
      </c>
      <c r="AJ2" s="424" t="s">
        <v>3</v>
      </c>
      <c r="AK2" s="424" t="s">
        <v>0</v>
      </c>
      <c r="AL2" s="424" t="s">
        <v>1</v>
      </c>
      <c r="AM2" s="424" t="s">
        <v>2</v>
      </c>
      <c r="AN2" s="424" t="s">
        <v>3</v>
      </c>
      <c r="AP2" s="367" t="s">
        <v>107</v>
      </c>
      <c r="AQ2" s="204"/>
      <c r="AS2" s="368" t="s">
        <v>130</v>
      </c>
      <c r="AT2" s="204"/>
    </row>
    <row r="3" spans="1:46" ht="14.95" customHeight="1" thickBot="1" x14ac:dyDescent="0.35">
      <c r="A3" s="518">
        <v>44751</v>
      </c>
      <c r="B3" s="517" t="s">
        <v>769</v>
      </c>
      <c r="C3" s="525" t="s">
        <v>544</v>
      </c>
      <c r="D3" s="519" t="s">
        <v>547</v>
      </c>
      <c r="E3" s="519" t="s">
        <v>1</v>
      </c>
      <c r="F3" s="519">
        <v>22</v>
      </c>
      <c r="G3" s="519">
        <v>21</v>
      </c>
      <c r="H3" s="504" t="s">
        <v>106</v>
      </c>
      <c r="I3" s="504" t="s">
        <v>106</v>
      </c>
      <c r="J3" s="504">
        <v>3</v>
      </c>
      <c r="K3" s="504">
        <v>2</v>
      </c>
      <c r="L3" s="504">
        <v>0</v>
      </c>
      <c r="M3" s="504">
        <v>1</v>
      </c>
      <c r="N3" s="504">
        <v>0</v>
      </c>
      <c r="O3" s="504">
        <v>0</v>
      </c>
      <c r="P3" s="504" t="s">
        <v>106</v>
      </c>
      <c r="Q3" s="504" t="s">
        <v>106</v>
      </c>
      <c r="R3" s="504">
        <v>2</v>
      </c>
      <c r="S3" s="506">
        <v>12500</v>
      </c>
      <c r="T3" s="570" t="s">
        <v>549</v>
      </c>
      <c r="U3" s="506" t="s">
        <v>268</v>
      </c>
      <c r="V3" s="506" t="s">
        <v>368</v>
      </c>
      <c r="W3" s="506" t="s">
        <v>457</v>
      </c>
      <c r="X3" s="506" t="s">
        <v>550</v>
      </c>
      <c r="Y3" s="527">
        <v>1</v>
      </c>
      <c r="Z3" s="527">
        <v>1</v>
      </c>
      <c r="AA3" s="527">
        <v>0</v>
      </c>
      <c r="AB3" s="527">
        <v>0</v>
      </c>
      <c r="AC3" s="527">
        <v>0</v>
      </c>
      <c r="AD3" s="527">
        <v>0</v>
      </c>
      <c r="AE3" s="527">
        <v>0</v>
      </c>
      <c r="AF3" s="527">
        <v>0</v>
      </c>
      <c r="AG3" s="527">
        <v>1</v>
      </c>
      <c r="AH3" s="527">
        <v>1</v>
      </c>
      <c r="AI3" s="527">
        <v>0</v>
      </c>
      <c r="AJ3" s="527">
        <v>0</v>
      </c>
      <c r="AK3" s="527">
        <v>0</v>
      </c>
      <c r="AL3" s="527">
        <v>0</v>
      </c>
      <c r="AM3" s="527">
        <v>0</v>
      </c>
      <c r="AN3" s="527">
        <v>0</v>
      </c>
      <c r="AP3" s="386" t="s">
        <v>132</v>
      </c>
      <c r="AQ3" s="387">
        <f>United_Statesalltestshistplayed</f>
        <v>272</v>
      </c>
      <c r="AS3" s="386" t="s">
        <v>132</v>
      </c>
      <c r="AT3" s="387">
        <f>United_StatesRWChistplayed</f>
        <v>29</v>
      </c>
    </row>
    <row r="4" spans="1:46" ht="14.95" customHeight="1" thickBot="1" x14ac:dyDescent="0.35">
      <c r="A4" s="545">
        <v>44758</v>
      </c>
      <c r="B4" s="546" t="s">
        <v>769</v>
      </c>
      <c r="C4" s="546" t="s">
        <v>544</v>
      </c>
      <c r="D4" s="547" t="s">
        <v>593</v>
      </c>
      <c r="E4" s="420" t="s">
        <v>3</v>
      </c>
      <c r="F4" s="547">
        <v>29</v>
      </c>
      <c r="G4" s="547">
        <v>31</v>
      </c>
      <c r="H4" s="530" t="s">
        <v>106</v>
      </c>
      <c r="I4" s="530" t="s">
        <v>106</v>
      </c>
      <c r="J4" s="530">
        <v>4</v>
      </c>
      <c r="K4" s="530">
        <v>3</v>
      </c>
      <c r="L4" s="530">
        <v>0</v>
      </c>
      <c r="M4" s="530">
        <v>1</v>
      </c>
      <c r="N4" s="530">
        <v>1</v>
      </c>
      <c r="O4" s="530">
        <v>0</v>
      </c>
      <c r="P4" s="530" t="s">
        <v>106</v>
      </c>
      <c r="Q4" s="530" t="s">
        <v>106</v>
      </c>
      <c r="R4" s="530">
        <v>4</v>
      </c>
      <c r="S4" s="534">
        <v>5000</v>
      </c>
      <c r="T4" s="548" t="s">
        <v>595</v>
      </c>
      <c r="U4" s="534" t="s">
        <v>324</v>
      </c>
      <c r="V4" s="534" t="s">
        <v>259</v>
      </c>
      <c r="W4" s="534" t="s">
        <v>289</v>
      </c>
      <c r="X4" s="534" t="s">
        <v>596</v>
      </c>
      <c r="Y4" s="988">
        <v>1</v>
      </c>
      <c r="Z4" s="988">
        <v>0</v>
      </c>
      <c r="AA4" s="988">
        <v>0</v>
      </c>
      <c r="AB4" s="988">
        <v>1</v>
      </c>
      <c r="AC4" s="988">
        <v>1</v>
      </c>
      <c r="AD4" s="988">
        <v>0</v>
      </c>
      <c r="AE4" s="988">
        <v>0</v>
      </c>
      <c r="AF4" s="988">
        <v>1</v>
      </c>
      <c r="AG4" s="988">
        <v>0</v>
      </c>
      <c r="AH4" s="988">
        <v>0</v>
      </c>
      <c r="AI4" s="988">
        <v>0</v>
      </c>
      <c r="AJ4" s="988">
        <v>0</v>
      </c>
      <c r="AK4" s="988">
        <v>0</v>
      </c>
      <c r="AL4" s="988">
        <v>0</v>
      </c>
      <c r="AM4" s="988">
        <v>0</v>
      </c>
      <c r="AN4" s="988">
        <v>0</v>
      </c>
      <c r="AP4" s="388" t="s">
        <v>133</v>
      </c>
      <c r="AQ4" s="389">
        <f>United_Statesalltestshistwon</f>
        <v>100</v>
      </c>
      <c r="AS4" s="388" t="s">
        <v>133</v>
      </c>
      <c r="AT4" s="389">
        <f>United_StatesRWChistwon</f>
        <v>3</v>
      </c>
    </row>
    <row r="5" spans="1:46" ht="14.95" customHeight="1" thickBot="1" x14ac:dyDescent="0.35">
      <c r="A5" s="619">
        <v>44871</v>
      </c>
      <c r="B5" s="620" t="s">
        <v>769</v>
      </c>
      <c r="C5" s="683" t="s">
        <v>485</v>
      </c>
      <c r="D5" s="449" t="s">
        <v>597</v>
      </c>
      <c r="E5" s="422" t="s">
        <v>1</v>
      </c>
      <c r="F5" s="422">
        <v>68</v>
      </c>
      <c r="G5" s="422">
        <v>14</v>
      </c>
      <c r="H5" s="566">
        <v>1</v>
      </c>
      <c r="I5" s="566">
        <v>0</v>
      </c>
      <c r="J5" s="566">
        <v>10</v>
      </c>
      <c r="K5" s="566">
        <v>9</v>
      </c>
      <c r="L5" s="566">
        <v>0</v>
      </c>
      <c r="M5" s="566">
        <v>0</v>
      </c>
      <c r="N5" s="566">
        <v>1</v>
      </c>
      <c r="O5" s="566">
        <v>0</v>
      </c>
      <c r="P5" s="566">
        <v>0</v>
      </c>
      <c r="Q5" s="566">
        <v>0</v>
      </c>
      <c r="R5" s="566">
        <v>2</v>
      </c>
      <c r="S5" s="579"/>
      <c r="T5" s="621" t="s">
        <v>467</v>
      </c>
      <c r="U5" s="579" t="s">
        <v>385</v>
      </c>
      <c r="V5" s="579" t="s">
        <v>771</v>
      </c>
      <c r="W5" s="579" t="s">
        <v>772</v>
      </c>
      <c r="X5" s="579" t="s">
        <v>773</v>
      </c>
      <c r="Y5" s="684">
        <v>1</v>
      </c>
      <c r="Z5" s="684">
        <v>1</v>
      </c>
      <c r="AA5" s="684">
        <v>0</v>
      </c>
      <c r="AB5" s="684">
        <v>0</v>
      </c>
      <c r="AC5" s="684">
        <v>0</v>
      </c>
      <c r="AD5" s="684">
        <v>0</v>
      </c>
      <c r="AE5" s="684">
        <v>0</v>
      </c>
      <c r="AF5" s="684">
        <v>0</v>
      </c>
      <c r="AG5" s="684">
        <v>0</v>
      </c>
      <c r="AH5" s="684">
        <v>0</v>
      </c>
      <c r="AI5" s="684">
        <v>0</v>
      </c>
      <c r="AJ5" s="684">
        <v>0</v>
      </c>
      <c r="AK5" s="684">
        <v>1</v>
      </c>
      <c r="AL5" s="684">
        <v>1</v>
      </c>
      <c r="AM5" s="684">
        <v>0</v>
      </c>
      <c r="AN5" s="684">
        <v>0</v>
      </c>
      <c r="AP5" s="388" t="s">
        <v>139</v>
      </c>
      <c r="AQ5" s="389">
        <f>United_Statesalltestshistdrawn</f>
        <v>5</v>
      </c>
      <c r="AS5" s="388" t="s">
        <v>139</v>
      </c>
      <c r="AT5" s="389">
        <f>United_StatesRWChistdrawn</f>
        <v>0</v>
      </c>
    </row>
    <row r="6" spans="1:46" ht="14.95" customHeight="1" thickBot="1" x14ac:dyDescent="0.35">
      <c r="A6" s="619">
        <v>44877</v>
      </c>
      <c r="B6" s="620" t="s">
        <v>769</v>
      </c>
      <c r="C6" s="683" t="s">
        <v>543</v>
      </c>
      <c r="D6" s="449" t="s">
        <v>597</v>
      </c>
      <c r="E6" s="422" t="s">
        <v>1</v>
      </c>
      <c r="F6" s="422">
        <v>49</v>
      </c>
      <c r="G6" s="422">
        <v>7</v>
      </c>
      <c r="H6" s="566">
        <v>1</v>
      </c>
      <c r="I6" s="566">
        <v>0</v>
      </c>
      <c r="J6" s="566">
        <v>7</v>
      </c>
      <c r="K6" s="566">
        <v>7</v>
      </c>
      <c r="L6" s="566">
        <v>0</v>
      </c>
      <c r="M6" s="566">
        <v>0</v>
      </c>
      <c r="N6" s="566">
        <v>0</v>
      </c>
      <c r="O6" s="566">
        <v>0</v>
      </c>
      <c r="P6" s="566">
        <v>0</v>
      </c>
      <c r="Q6" s="566">
        <v>0</v>
      </c>
      <c r="R6" s="566">
        <v>1</v>
      </c>
      <c r="S6" s="579"/>
      <c r="T6" s="621" t="s">
        <v>788</v>
      </c>
      <c r="U6" s="579" t="s">
        <v>339</v>
      </c>
      <c r="V6" s="579" t="s">
        <v>771</v>
      </c>
      <c r="W6" s="579" t="s">
        <v>772</v>
      </c>
      <c r="X6" s="579" t="s">
        <v>798</v>
      </c>
      <c r="Y6" s="684">
        <v>1</v>
      </c>
      <c r="Z6" s="684">
        <v>1</v>
      </c>
      <c r="AA6" s="684">
        <v>0</v>
      </c>
      <c r="AB6" s="684">
        <v>0</v>
      </c>
      <c r="AC6" s="684">
        <v>0</v>
      </c>
      <c r="AD6" s="684">
        <v>0</v>
      </c>
      <c r="AE6" s="684">
        <v>0</v>
      </c>
      <c r="AF6" s="684">
        <v>0</v>
      </c>
      <c r="AG6" s="684">
        <v>0</v>
      </c>
      <c r="AH6" s="684">
        <v>0</v>
      </c>
      <c r="AI6" s="684">
        <v>0</v>
      </c>
      <c r="AJ6" s="684">
        <v>0</v>
      </c>
      <c r="AK6" s="684">
        <v>1</v>
      </c>
      <c r="AL6" s="684">
        <v>1</v>
      </c>
      <c r="AM6" s="684">
        <v>0</v>
      </c>
      <c r="AN6" s="684">
        <v>0</v>
      </c>
      <c r="AP6" s="388" t="s">
        <v>134</v>
      </c>
      <c r="AQ6" s="389">
        <f>United_Statesalltestshistlost</f>
        <v>167</v>
      </c>
      <c r="AS6" s="388" t="s">
        <v>134</v>
      </c>
      <c r="AT6" s="389">
        <f>United_StatesRWChistlost</f>
        <v>26</v>
      </c>
    </row>
    <row r="7" spans="1:46" ht="14.95" customHeight="1" thickBot="1" x14ac:dyDescent="0.3">
      <c r="A7" s="619">
        <v>44883</v>
      </c>
      <c r="B7" s="620" t="s">
        <v>769</v>
      </c>
      <c r="C7" s="620" t="s">
        <v>125</v>
      </c>
      <c r="D7" s="449" t="s">
        <v>597</v>
      </c>
      <c r="E7" s="422" t="s">
        <v>2</v>
      </c>
      <c r="F7" s="422">
        <v>16</v>
      </c>
      <c r="G7" s="422">
        <v>16</v>
      </c>
      <c r="H7" s="422">
        <v>0</v>
      </c>
      <c r="I7" s="422">
        <v>0</v>
      </c>
      <c r="J7" s="422">
        <v>1</v>
      </c>
      <c r="K7" s="422">
        <v>1</v>
      </c>
      <c r="L7" s="422">
        <v>0</v>
      </c>
      <c r="M7" s="422">
        <v>3</v>
      </c>
      <c r="N7" s="422">
        <v>1</v>
      </c>
      <c r="O7" s="422">
        <v>0</v>
      </c>
      <c r="P7" s="422">
        <v>0</v>
      </c>
      <c r="Q7" s="422">
        <v>0</v>
      </c>
      <c r="R7" s="422">
        <v>1</v>
      </c>
      <c r="S7" s="579"/>
      <c r="T7" s="627" t="s">
        <v>270</v>
      </c>
      <c r="U7" s="579" t="s">
        <v>565</v>
      </c>
      <c r="V7" s="579" t="s">
        <v>449</v>
      </c>
      <c r="W7" s="579" t="s">
        <v>772</v>
      </c>
      <c r="X7" s="579" t="s">
        <v>798</v>
      </c>
      <c r="Y7" s="684">
        <v>1</v>
      </c>
      <c r="Z7" s="684">
        <v>0</v>
      </c>
      <c r="AA7" s="684">
        <v>1</v>
      </c>
      <c r="AB7" s="684">
        <v>0</v>
      </c>
      <c r="AC7" s="684">
        <v>0</v>
      </c>
      <c r="AD7" s="684">
        <v>0</v>
      </c>
      <c r="AE7" s="684">
        <v>0</v>
      </c>
      <c r="AF7" s="684">
        <v>0</v>
      </c>
      <c r="AG7" s="684">
        <v>0</v>
      </c>
      <c r="AH7" s="684">
        <v>0</v>
      </c>
      <c r="AI7" s="684">
        <v>0</v>
      </c>
      <c r="AJ7" s="684">
        <v>0</v>
      </c>
      <c r="AK7" s="684">
        <v>1</v>
      </c>
      <c r="AL7" s="684">
        <v>0</v>
      </c>
      <c r="AM7" s="684">
        <v>1</v>
      </c>
      <c r="AN7" s="684">
        <v>0</v>
      </c>
      <c r="AP7" s="388" t="s">
        <v>140</v>
      </c>
      <c r="AQ7" s="389">
        <f>United_Statesalltestshistptsscored</f>
        <v>5819</v>
      </c>
      <c r="AS7" s="388" t="s">
        <v>140</v>
      </c>
      <c r="AT7" s="389">
        <f>United_StatesRWChistptsscored</f>
        <v>402</v>
      </c>
    </row>
    <row r="8" spans="1:46" ht="14.95" customHeight="1" thickBot="1" x14ac:dyDescent="0.3">
      <c r="A8" s="611"/>
      <c r="B8" s="191"/>
      <c r="C8" s="806" t="s">
        <v>194</v>
      </c>
      <c r="D8" s="807"/>
      <c r="E8" s="808"/>
      <c r="F8" s="581">
        <f>SUM(F3+F4+F5+F6+F7)</f>
        <v>184</v>
      </c>
      <c r="G8" s="581">
        <f>SUM(G3+G4+G5+G6+G7)</f>
        <v>89</v>
      </c>
      <c r="H8" s="581">
        <f>SUM(H5+H6+H7)</f>
        <v>2</v>
      </c>
      <c r="I8" s="581">
        <f>SUM(I5+I6+I7)</f>
        <v>0</v>
      </c>
      <c r="J8" s="581">
        <f t="shared" ref="J8:O8" si="0">SUM(J3+J4+J5+J6+J7)</f>
        <v>25</v>
      </c>
      <c r="K8" s="581">
        <f t="shared" si="0"/>
        <v>22</v>
      </c>
      <c r="L8" s="581">
        <f t="shared" si="0"/>
        <v>0</v>
      </c>
      <c r="M8" s="581">
        <f t="shared" si="0"/>
        <v>5</v>
      </c>
      <c r="N8" s="581">
        <f t="shared" si="0"/>
        <v>3</v>
      </c>
      <c r="O8" s="581">
        <f t="shared" si="0"/>
        <v>0</v>
      </c>
      <c r="P8" s="581">
        <f>SUM(P5+P6+P7)</f>
        <v>0</v>
      </c>
      <c r="Q8" s="581">
        <f>SUM(Q5+Q6+Q7)</f>
        <v>0</v>
      </c>
      <c r="R8" s="581">
        <f>SUM(R3+R4+R5+R6+R7)</f>
        <v>10</v>
      </c>
      <c r="S8" s="625"/>
      <c r="T8" s="625"/>
      <c r="U8" s="625"/>
      <c r="V8" s="625"/>
      <c r="W8" s="306"/>
      <c r="X8" s="624" t="s">
        <v>194</v>
      </c>
      <c r="Y8" s="309">
        <f t="shared" ref="Y8:AN8" si="1">SUM(Y3+Y4+Y5+Y6+Y7)</f>
        <v>5</v>
      </c>
      <c r="Z8" s="581">
        <f t="shared" si="1"/>
        <v>3</v>
      </c>
      <c r="AA8" s="581">
        <f t="shared" si="1"/>
        <v>1</v>
      </c>
      <c r="AB8" s="581">
        <f t="shared" si="1"/>
        <v>1</v>
      </c>
      <c r="AC8" s="605">
        <f t="shared" si="1"/>
        <v>1</v>
      </c>
      <c r="AD8" s="605">
        <f t="shared" si="1"/>
        <v>0</v>
      </c>
      <c r="AE8" s="605">
        <f t="shared" si="1"/>
        <v>0</v>
      </c>
      <c r="AF8" s="605">
        <f t="shared" si="1"/>
        <v>1</v>
      </c>
      <c r="AG8" s="606">
        <f t="shared" si="1"/>
        <v>1</v>
      </c>
      <c r="AH8" s="606">
        <f t="shared" si="1"/>
        <v>1</v>
      </c>
      <c r="AI8" s="606">
        <f t="shared" si="1"/>
        <v>0</v>
      </c>
      <c r="AJ8" s="606">
        <f t="shared" si="1"/>
        <v>0</v>
      </c>
      <c r="AK8" s="581">
        <f t="shared" si="1"/>
        <v>3</v>
      </c>
      <c r="AL8" s="581">
        <f t="shared" si="1"/>
        <v>2</v>
      </c>
      <c r="AM8" s="581">
        <f t="shared" si="1"/>
        <v>1</v>
      </c>
      <c r="AN8" s="581">
        <f t="shared" si="1"/>
        <v>0</v>
      </c>
      <c r="AP8" s="388" t="s">
        <v>141</v>
      </c>
      <c r="AQ8" s="389">
        <f>United_Statesalltestshistptscon</f>
        <v>7391</v>
      </c>
      <c r="AS8" s="388" t="s">
        <v>141</v>
      </c>
      <c r="AT8" s="389">
        <f>United_StatesRWChistptscon</f>
        <v>1048</v>
      </c>
    </row>
    <row r="9" spans="1:46" ht="14.95" customHeight="1" thickBot="1" x14ac:dyDescent="0.3">
      <c r="A9" s="310"/>
      <c r="B9" s="311"/>
      <c r="C9" s="760" t="s">
        <v>107</v>
      </c>
      <c r="D9" s="761"/>
      <c r="E9" s="762"/>
      <c r="F9" s="422">
        <f t="shared" ref="F9:R9" si="2">SUM(F3:F7)</f>
        <v>184</v>
      </c>
      <c r="G9" s="422">
        <f t="shared" si="2"/>
        <v>89</v>
      </c>
      <c r="H9" s="422">
        <f t="shared" si="2"/>
        <v>2</v>
      </c>
      <c r="I9" s="422">
        <f t="shared" si="2"/>
        <v>0</v>
      </c>
      <c r="J9" s="422">
        <f t="shared" si="2"/>
        <v>25</v>
      </c>
      <c r="K9" s="422">
        <f t="shared" si="2"/>
        <v>22</v>
      </c>
      <c r="L9" s="422">
        <f t="shared" si="2"/>
        <v>0</v>
      </c>
      <c r="M9" s="422">
        <f t="shared" si="2"/>
        <v>5</v>
      </c>
      <c r="N9" s="422">
        <f t="shared" si="2"/>
        <v>3</v>
      </c>
      <c r="O9" s="422">
        <f t="shared" si="2"/>
        <v>0</v>
      </c>
      <c r="P9" s="422">
        <f t="shared" si="2"/>
        <v>0</v>
      </c>
      <c r="Q9" s="422">
        <f t="shared" si="2"/>
        <v>0</v>
      </c>
      <c r="R9" s="422">
        <f t="shared" si="2"/>
        <v>10</v>
      </c>
      <c r="S9" s="419"/>
      <c r="T9" s="419"/>
      <c r="U9" s="419"/>
      <c r="V9" s="419"/>
      <c r="W9" s="13"/>
      <c r="X9" s="447" t="s">
        <v>107</v>
      </c>
      <c r="Y9" s="422">
        <f t="shared" ref="Y9:AN9" si="3">SUM(Y3:Y7)</f>
        <v>5</v>
      </c>
      <c r="Z9" s="422">
        <f t="shared" si="3"/>
        <v>3</v>
      </c>
      <c r="AA9" s="422">
        <f t="shared" si="3"/>
        <v>1</v>
      </c>
      <c r="AB9" s="422">
        <f t="shared" si="3"/>
        <v>1</v>
      </c>
      <c r="AC9" s="420">
        <f t="shared" si="3"/>
        <v>1</v>
      </c>
      <c r="AD9" s="420">
        <f t="shared" si="3"/>
        <v>0</v>
      </c>
      <c r="AE9" s="420">
        <f t="shared" si="3"/>
        <v>0</v>
      </c>
      <c r="AF9" s="420">
        <f t="shared" si="3"/>
        <v>1</v>
      </c>
      <c r="AG9" s="421">
        <f t="shared" si="3"/>
        <v>1</v>
      </c>
      <c r="AH9" s="421">
        <f t="shared" si="3"/>
        <v>1</v>
      </c>
      <c r="AI9" s="421">
        <f t="shared" si="3"/>
        <v>0</v>
      </c>
      <c r="AJ9" s="421">
        <f t="shared" si="3"/>
        <v>0</v>
      </c>
      <c r="AK9" s="422">
        <f t="shared" si="3"/>
        <v>3</v>
      </c>
      <c r="AL9" s="422">
        <f t="shared" si="3"/>
        <v>2</v>
      </c>
      <c r="AM9" s="422">
        <f t="shared" si="3"/>
        <v>1</v>
      </c>
      <c r="AN9" s="422">
        <f t="shared" si="3"/>
        <v>0</v>
      </c>
      <c r="AP9" s="388" t="s">
        <v>131</v>
      </c>
      <c r="AQ9" s="389">
        <f>United_Statesalltestshisttriesscored</f>
        <v>694</v>
      </c>
      <c r="AS9" s="388" t="s">
        <v>131</v>
      </c>
      <c r="AT9" s="389">
        <f>United_StatesRWChisttriesscored</f>
        <v>44</v>
      </c>
    </row>
    <row r="10" spans="1:46" x14ac:dyDescent="0.25">
      <c r="A10" s="310"/>
      <c r="B10" s="311"/>
      <c r="C10" s="499"/>
      <c r="D10" s="499"/>
      <c r="E10" s="499"/>
      <c r="F10" s="499"/>
      <c r="G10" s="499"/>
      <c r="H10" s="499"/>
      <c r="I10" s="499"/>
      <c r="J10" s="499"/>
      <c r="K10" s="499"/>
      <c r="L10" s="499"/>
      <c r="M10" s="499"/>
      <c r="N10" s="499"/>
      <c r="O10" s="499"/>
      <c r="P10" s="499"/>
      <c r="Q10" s="499"/>
      <c r="R10" s="499"/>
      <c r="S10" s="499"/>
      <c r="T10" s="499"/>
      <c r="U10" s="499"/>
      <c r="V10" s="499"/>
      <c r="W10" s="499"/>
      <c r="X10" s="499"/>
      <c r="Y10" s="499"/>
      <c r="Z10" s="499"/>
      <c r="AA10" s="499"/>
      <c r="AB10" s="499"/>
      <c r="AC10" s="499"/>
      <c r="AD10" s="499"/>
      <c r="AE10" s="499"/>
      <c r="AF10" s="499"/>
      <c r="AG10" s="499"/>
      <c r="AH10" s="499"/>
      <c r="AI10" s="499"/>
      <c r="AJ10" s="499"/>
      <c r="AK10" s="499"/>
      <c r="AL10" s="499"/>
      <c r="AM10" s="499"/>
      <c r="AN10" s="499"/>
    </row>
    <row r="11" spans="1:46" x14ac:dyDescent="0.25">
      <c r="A11" s="632" t="s">
        <v>594</v>
      </c>
      <c r="F11" s="14"/>
      <c r="G11" s="14"/>
      <c r="H11" s="13"/>
      <c r="I11" s="14"/>
      <c r="J11" s="14"/>
      <c r="K11" s="14"/>
      <c r="L11" s="14"/>
      <c r="M11" s="14"/>
      <c r="N11" s="14"/>
      <c r="O11" s="14"/>
      <c r="P11" s="14"/>
      <c r="Q11" s="14"/>
      <c r="R11" s="14"/>
    </row>
    <row r="12" spans="1:46" x14ac:dyDescent="0.25">
      <c r="A12" s="788" t="s">
        <v>598</v>
      </c>
      <c r="B12" s="789"/>
      <c r="C12" s="789"/>
      <c r="D12" s="789"/>
      <c r="E12" s="789"/>
      <c r="F12" s="789"/>
      <c r="G12" s="789"/>
      <c r="H12" s="789"/>
      <c r="I12" s="789"/>
      <c r="J12" s="789"/>
      <c r="K12" s="789"/>
      <c r="L12" s="789"/>
      <c r="M12" s="789"/>
      <c r="N12" s="789"/>
      <c r="O12" s="789"/>
      <c r="P12" s="789"/>
      <c r="Q12" s="789"/>
      <c r="R12" s="789"/>
    </row>
    <row r="13" spans="1:46" ht="14.95" customHeight="1" x14ac:dyDescent="0.25">
      <c r="A13" s="596"/>
    </row>
    <row r="14" spans="1:46" x14ac:dyDescent="0.25">
      <c r="A14" s="417"/>
    </row>
    <row r="15" spans="1:46" x14ac:dyDescent="0.25">
      <c r="A15" s="632" t="s">
        <v>167</v>
      </c>
    </row>
    <row r="16" spans="1:46" x14ac:dyDescent="0.25">
      <c r="A16" s="155"/>
      <c r="B16" t="s">
        <v>44</v>
      </c>
    </row>
    <row r="17" spans="1:2" x14ac:dyDescent="0.25">
      <c r="A17" s="153"/>
      <c r="B17" t="s">
        <v>42</v>
      </c>
    </row>
    <row r="18" spans="1:2" x14ac:dyDescent="0.25">
      <c r="A18" s="154"/>
      <c r="B18" t="s">
        <v>43</v>
      </c>
    </row>
    <row r="19" spans="1:2" x14ac:dyDescent="0.25">
      <c r="A19" s="15" t="s">
        <v>28</v>
      </c>
    </row>
  </sheetData>
  <mergeCells count="13">
    <mergeCell ref="Y1:AB1"/>
    <mergeCell ref="AC1:AF1"/>
    <mergeCell ref="AG1:AJ1"/>
    <mergeCell ref="AK1:AN1"/>
    <mergeCell ref="P1:R1"/>
    <mergeCell ref="A12:R12"/>
    <mergeCell ref="C8:E8"/>
    <mergeCell ref="C9:E9"/>
    <mergeCell ref="A1:C1"/>
    <mergeCell ref="E1:G1"/>
    <mergeCell ref="H1:I1"/>
    <mergeCell ref="J1:M1"/>
    <mergeCell ref="N1:O1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T19"/>
  <sheetViews>
    <sheetView workbookViewId="0">
      <selection activeCell="U7" sqref="U7"/>
    </sheetView>
  </sheetViews>
  <sheetFormatPr defaultRowHeight="14.3" x14ac:dyDescent="0.25"/>
  <cols>
    <col min="1" max="1" width="7.5" customWidth="1"/>
    <col min="2" max="2" width="4.5" bestFit="1" customWidth="1"/>
    <col min="3" max="3" width="13.625" customWidth="1"/>
    <col min="4" max="4" width="4.875" bestFit="1" customWidth="1"/>
    <col min="5" max="5" width="3.625" customWidth="1"/>
    <col min="6" max="7" width="4" bestFit="1" customWidth="1"/>
    <col min="8" max="18" width="3.625" customWidth="1"/>
    <col min="19" max="20" width="6.375" customWidth="1"/>
    <col min="21" max="21" width="25.875" customWidth="1"/>
    <col min="22" max="22" width="22.5" bestFit="1" customWidth="1"/>
    <col min="23" max="23" width="24.125" bestFit="1" customWidth="1"/>
    <col min="24" max="24" width="24.625" bestFit="1" customWidth="1"/>
    <col min="25" max="40" width="3.625" customWidth="1"/>
    <col min="42" max="42" width="13.125" bestFit="1" customWidth="1"/>
    <col min="45" max="45" width="13.125" bestFit="1" customWidth="1"/>
  </cols>
  <sheetData>
    <row r="1" spans="1:46" ht="14.95" customHeight="1" thickBot="1" x14ac:dyDescent="0.3">
      <c r="A1" s="975" t="s">
        <v>216</v>
      </c>
      <c r="B1" s="976"/>
      <c r="C1" s="976"/>
      <c r="D1" s="161"/>
      <c r="E1" s="977" t="s">
        <v>24</v>
      </c>
      <c r="F1" s="978"/>
      <c r="G1" s="979"/>
      <c r="H1" s="977" t="s">
        <v>23</v>
      </c>
      <c r="I1" s="979"/>
      <c r="J1" s="980" t="s">
        <v>6</v>
      </c>
      <c r="K1" s="981"/>
      <c r="L1" s="981"/>
      <c r="M1" s="982"/>
      <c r="N1" s="980" t="s">
        <v>7</v>
      </c>
      <c r="O1" s="982"/>
      <c r="P1" s="980" t="s">
        <v>25</v>
      </c>
      <c r="Q1" s="981"/>
      <c r="R1" s="982"/>
      <c r="S1" s="362" t="s">
        <v>8</v>
      </c>
      <c r="T1" s="362" t="s">
        <v>9</v>
      </c>
      <c r="U1" s="363" t="s">
        <v>10</v>
      </c>
      <c r="V1" s="362" t="s">
        <v>11</v>
      </c>
      <c r="W1" s="364" t="s">
        <v>26</v>
      </c>
      <c r="X1" s="365" t="s">
        <v>27</v>
      </c>
      <c r="Y1" s="983" t="s">
        <v>20</v>
      </c>
      <c r="Z1" s="753"/>
      <c r="AA1" s="753"/>
      <c r="AB1" s="754"/>
      <c r="AC1" s="983" t="s">
        <v>61</v>
      </c>
      <c r="AD1" s="753"/>
      <c r="AE1" s="753"/>
      <c r="AF1" s="754"/>
      <c r="AG1" s="983" t="s">
        <v>62</v>
      </c>
      <c r="AH1" s="753"/>
      <c r="AI1" s="753"/>
      <c r="AJ1" s="754"/>
      <c r="AK1" s="983" t="s">
        <v>63</v>
      </c>
      <c r="AL1" s="753"/>
      <c r="AM1" s="753"/>
      <c r="AN1" s="754"/>
      <c r="AP1" s="404" t="s">
        <v>163</v>
      </c>
      <c r="AQ1" s="397"/>
      <c r="AR1" s="397"/>
      <c r="AS1" s="404" t="s">
        <v>163</v>
      </c>
    </row>
    <row r="2" spans="1:46" ht="14.95" customHeight="1" thickBot="1" x14ac:dyDescent="0.3">
      <c r="A2" s="141" t="s">
        <v>19</v>
      </c>
      <c r="B2" s="142" t="s">
        <v>18</v>
      </c>
      <c r="C2" s="143" t="s">
        <v>17</v>
      </c>
      <c r="D2" s="144" t="s">
        <v>41</v>
      </c>
      <c r="E2" s="144" t="s">
        <v>16</v>
      </c>
      <c r="F2" s="144" t="s">
        <v>4</v>
      </c>
      <c r="G2" s="144" t="s">
        <v>5</v>
      </c>
      <c r="H2" s="145" t="s">
        <v>12</v>
      </c>
      <c r="I2" s="145" t="s">
        <v>3</v>
      </c>
      <c r="J2" s="145" t="s">
        <v>12</v>
      </c>
      <c r="K2" s="145" t="s">
        <v>13</v>
      </c>
      <c r="L2" s="145" t="s">
        <v>2</v>
      </c>
      <c r="M2" s="145" t="s">
        <v>14</v>
      </c>
      <c r="N2" s="145" t="s">
        <v>15</v>
      </c>
      <c r="O2" s="145" t="s">
        <v>16</v>
      </c>
      <c r="P2" s="145" t="s">
        <v>21</v>
      </c>
      <c r="Q2" s="145" t="s">
        <v>22</v>
      </c>
      <c r="R2" s="145" t="s">
        <v>12</v>
      </c>
      <c r="S2" s="146"/>
      <c r="T2" s="325"/>
      <c r="U2" s="147"/>
      <c r="V2" s="146"/>
      <c r="W2" s="176"/>
      <c r="X2" s="148"/>
      <c r="Y2" s="140" t="s">
        <v>0</v>
      </c>
      <c r="Z2" s="140" t="s">
        <v>1</v>
      </c>
      <c r="AA2" s="140" t="s">
        <v>2</v>
      </c>
      <c r="AB2" s="140" t="s">
        <v>3</v>
      </c>
      <c r="AC2" s="140" t="s">
        <v>0</v>
      </c>
      <c r="AD2" s="140" t="s">
        <v>1</v>
      </c>
      <c r="AE2" s="140" t="s">
        <v>2</v>
      </c>
      <c r="AF2" s="140" t="s">
        <v>3</v>
      </c>
      <c r="AG2" s="140" t="s">
        <v>0</v>
      </c>
      <c r="AH2" s="140" t="s">
        <v>1</v>
      </c>
      <c r="AI2" s="140" t="s">
        <v>2</v>
      </c>
      <c r="AJ2" s="140" t="s">
        <v>3</v>
      </c>
      <c r="AK2" s="140" t="s">
        <v>0</v>
      </c>
      <c r="AL2" s="140" t="s">
        <v>1</v>
      </c>
      <c r="AM2" s="140" t="s">
        <v>2</v>
      </c>
      <c r="AN2" s="140" t="s">
        <v>3</v>
      </c>
      <c r="AP2" s="367" t="s">
        <v>107</v>
      </c>
      <c r="AQ2" s="204"/>
      <c r="AS2" s="368" t="s">
        <v>130</v>
      </c>
      <c r="AT2" s="204"/>
    </row>
    <row r="3" spans="1:46" ht="14.95" customHeight="1" thickBot="1" x14ac:dyDescent="0.3">
      <c r="A3" s="501">
        <v>44730</v>
      </c>
      <c r="B3" s="503" t="s">
        <v>45</v>
      </c>
      <c r="C3" s="503" t="s">
        <v>36</v>
      </c>
      <c r="D3" s="503" t="s">
        <v>446</v>
      </c>
      <c r="E3" s="504" t="s">
        <v>3</v>
      </c>
      <c r="F3" s="504">
        <v>15</v>
      </c>
      <c r="G3" s="504">
        <v>34</v>
      </c>
      <c r="H3" s="504" t="s">
        <v>106</v>
      </c>
      <c r="I3" s="504" t="s">
        <v>106</v>
      </c>
      <c r="J3" s="504">
        <v>2</v>
      </c>
      <c r="K3" s="504">
        <v>1</v>
      </c>
      <c r="L3" s="504">
        <v>0</v>
      </c>
      <c r="M3" s="504">
        <v>1</v>
      </c>
      <c r="N3" s="504">
        <v>1</v>
      </c>
      <c r="O3" s="504">
        <v>0</v>
      </c>
      <c r="P3" s="504" t="s">
        <v>106</v>
      </c>
      <c r="Q3" s="504" t="s">
        <v>106</v>
      </c>
      <c r="R3" s="504">
        <v>5</v>
      </c>
      <c r="S3" s="511">
        <v>14448</v>
      </c>
      <c r="T3" s="524" t="s">
        <v>452</v>
      </c>
      <c r="U3" s="513" t="s">
        <v>448</v>
      </c>
      <c r="V3" s="511" t="s">
        <v>449</v>
      </c>
      <c r="W3" s="506" t="s">
        <v>450</v>
      </c>
      <c r="X3" s="514" t="s">
        <v>451</v>
      </c>
      <c r="Y3" s="568">
        <v>1</v>
      </c>
      <c r="Z3" s="568">
        <v>0</v>
      </c>
      <c r="AA3" s="568">
        <v>0</v>
      </c>
      <c r="AB3" s="569">
        <v>1</v>
      </c>
      <c r="AC3" s="568">
        <v>0</v>
      </c>
      <c r="AD3" s="568">
        <v>0</v>
      </c>
      <c r="AE3" s="568">
        <v>0</v>
      </c>
      <c r="AF3" s="569">
        <v>0</v>
      </c>
      <c r="AG3" s="568">
        <v>1</v>
      </c>
      <c r="AH3" s="568">
        <v>0</v>
      </c>
      <c r="AI3" s="568">
        <v>0</v>
      </c>
      <c r="AJ3" s="569">
        <v>1</v>
      </c>
      <c r="AK3" s="568">
        <v>0</v>
      </c>
      <c r="AL3" s="568">
        <v>0</v>
      </c>
      <c r="AM3" s="568">
        <v>0</v>
      </c>
      <c r="AN3" s="569">
        <v>0</v>
      </c>
      <c r="AP3" s="386" t="s">
        <v>132</v>
      </c>
      <c r="AQ3" s="387">
        <f>Urualltestshistplayed</f>
        <v>300</v>
      </c>
      <c r="AS3" s="386" t="s">
        <v>132</v>
      </c>
      <c r="AT3" s="387">
        <f>UruRWChistplayed</f>
        <v>15</v>
      </c>
    </row>
    <row r="4" spans="1:46" ht="14.95" customHeight="1" thickBot="1" x14ac:dyDescent="0.3">
      <c r="A4" s="501">
        <v>44737</v>
      </c>
      <c r="B4" s="503" t="s">
        <v>45</v>
      </c>
      <c r="C4" s="503" t="s">
        <v>36</v>
      </c>
      <c r="D4" s="503" t="s">
        <v>465</v>
      </c>
      <c r="E4" s="504" t="s">
        <v>3</v>
      </c>
      <c r="F4" s="504">
        <v>7</v>
      </c>
      <c r="G4" s="504">
        <v>43</v>
      </c>
      <c r="H4" s="504" t="s">
        <v>106</v>
      </c>
      <c r="I4" s="504" t="s">
        <v>106</v>
      </c>
      <c r="J4" s="504">
        <v>1</v>
      </c>
      <c r="K4" s="504">
        <v>1</v>
      </c>
      <c r="L4" s="504">
        <v>0</v>
      </c>
      <c r="M4" s="504">
        <v>0</v>
      </c>
      <c r="N4" s="504">
        <v>1</v>
      </c>
      <c r="O4" s="504">
        <v>0</v>
      </c>
      <c r="P4" s="504" t="s">
        <v>106</v>
      </c>
      <c r="Q4" s="504" t="s">
        <v>106</v>
      </c>
      <c r="R4" s="504">
        <v>6</v>
      </c>
      <c r="S4" s="511">
        <v>11664</v>
      </c>
      <c r="T4" s="515" t="s">
        <v>472</v>
      </c>
      <c r="U4" s="513" t="s">
        <v>451</v>
      </c>
      <c r="V4" s="511" t="s">
        <v>468</v>
      </c>
      <c r="W4" s="506" t="s">
        <v>450</v>
      </c>
      <c r="X4" s="514" t="s">
        <v>469</v>
      </c>
      <c r="Y4" s="568">
        <v>1</v>
      </c>
      <c r="Z4" s="568">
        <v>0</v>
      </c>
      <c r="AA4" s="568">
        <v>0</v>
      </c>
      <c r="AB4" s="569">
        <v>1</v>
      </c>
      <c r="AC4" s="568">
        <v>0</v>
      </c>
      <c r="AD4" s="568">
        <v>0</v>
      </c>
      <c r="AE4" s="568">
        <v>0</v>
      </c>
      <c r="AF4" s="569">
        <v>0</v>
      </c>
      <c r="AG4" s="568">
        <v>1</v>
      </c>
      <c r="AH4" s="568">
        <v>0</v>
      </c>
      <c r="AI4" s="568">
        <v>0</v>
      </c>
      <c r="AJ4" s="569">
        <v>1</v>
      </c>
      <c r="AK4" s="568">
        <v>0</v>
      </c>
      <c r="AL4" s="568">
        <v>0</v>
      </c>
      <c r="AM4" s="568">
        <v>0</v>
      </c>
      <c r="AN4" s="569">
        <v>0</v>
      </c>
      <c r="AP4" s="388" t="s">
        <v>133</v>
      </c>
      <c r="AQ4" s="389">
        <f>Urualltestshistwon</f>
        <v>141</v>
      </c>
      <c r="AS4" s="388" t="s">
        <v>133</v>
      </c>
      <c r="AT4" s="389">
        <f>UruRWChistwon</f>
        <v>3</v>
      </c>
    </row>
    <row r="5" spans="1:46" ht="14.95" customHeight="1" thickBot="1" x14ac:dyDescent="0.3">
      <c r="A5" s="528">
        <v>44752</v>
      </c>
      <c r="B5" s="529" t="s">
        <v>45</v>
      </c>
      <c r="C5" s="529" t="s">
        <v>123</v>
      </c>
      <c r="D5" s="529" t="s">
        <v>581</v>
      </c>
      <c r="E5" s="530" t="s">
        <v>3</v>
      </c>
      <c r="F5" s="530">
        <v>22</v>
      </c>
      <c r="G5" s="530">
        <v>30</v>
      </c>
      <c r="H5" s="530" t="s">
        <v>106</v>
      </c>
      <c r="I5" s="530" t="s">
        <v>106</v>
      </c>
      <c r="J5" s="530">
        <v>3</v>
      </c>
      <c r="K5" s="530">
        <v>2</v>
      </c>
      <c r="L5" s="530">
        <v>0</v>
      </c>
      <c r="M5" s="530">
        <v>1</v>
      </c>
      <c r="N5" s="530">
        <v>2</v>
      </c>
      <c r="O5" s="530">
        <v>0</v>
      </c>
      <c r="P5" s="530" t="s">
        <v>106</v>
      </c>
      <c r="Q5" s="530" t="s">
        <v>106</v>
      </c>
      <c r="R5" s="530">
        <v>3</v>
      </c>
      <c r="S5" s="531"/>
      <c r="T5" s="532" t="s">
        <v>583</v>
      </c>
      <c r="U5" s="533" t="s">
        <v>385</v>
      </c>
      <c r="V5" s="531" t="s">
        <v>525</v>
      </c>
      <c r="W5" s="531" t="s">
        <v>584</v>
      </c>
      <c r="X5" s="535" t="s">
        <v>585</v>
      </c>
      <c r="Y5" s="555">
        <v>1</v>
      </c>
      <c r="Z5" s="555">
        <v>0</v>
      </c>
      <c r="AA5" s="555">
        <v>0</v>
      </c>
      <c r="AB5" s="561">
        <v>1</v>
      </c>
      <c r="AC5" s="555">
        <v>1</v>
      </c>
      <c r="AD5" s="555">
        <v>0</v>
      </c>
      <c r="AE5" s="555">
        <v>0</v>
      </c>
      <c r="AF5" s="561">
        <v>1</v>
      </c>
      <c r="AG5" s="555">
        <v>0</v>
      </c>
      <c r="AH5" s="555">
        <v>0</v>
      </c>
      <c r="AI5" s="555">
        <v>0</v>
      </c>
      <c r="AJ5" s="561">
        <v>0</v>
      </c>
      <c r="AK5" s="555">
        <v>0</v>
      </c>
      <c r="AL5" s="555">
        <v>0</v>
      </c>
      <c r="AM5" s="555">
        <v>0</v>
      </c>
      <c r="AN5" s="561">
        <v>0</v>
      </c>
      <c r="AP5" s="388" t="s">
        <v>139</v>
      </c>
      <c r="AQ5" s="389">
        <f>Urualltestshistdrawn</f>
        <v>4</v>
      </c>
      <c r="AS5" s="388" t="s">
        <v>139</v>
      </c>
      <c r="AT5" s="389">
        <f>UruRWChistdrawn</f>
        <v>0</v>
      </c>
    </row>
    <row r="6" spans="1:46" ht="14.95" customHeight="1" thickBot="1" x14ac:dyDescent="0.35">
      <c r="A6" s="528">
        <v>44759</v>
      </c>
      <c r="B6" s="529" t="s">
        <v>45</v>
      </c>
      <c r="C6" s="529" t="s">
        <v>123</v>
      </c>
      <c r="D6" s="529" t="s">
        <v>581</v>
      </c>
      <c r="E6" s="530" t="s">
        <v>1</v>
      </c>
      <c r="F6" s="530">
        <v>26</v>
      </c>
      <c r="G6" s="530">
        <v>20</v>
      </c>
      <c r="H6" s="530" t="s">
        <v>106</v>
      </c>
      <c r="I6" s="530" t="s">
        <v>106</v>
      </c>
      <c r="J6" s="530">
        <v>4</v>
      </c>
      <c r="K6" s="530">
        <v>3</v>
      </c>
      <c r="L6" s="530">
        <v>0</v>
      </c>
      <c r="M6" s="530">
        <v>0</v>
      </c>
      <c r="N6" s="530">
        <v>1</v>
      </c>
      <c r="O6" s="530">
        <v>0</v>
      </c>
      <c r="P6" s="530" t="s">
        <v>106</v>
      </c>
      <c r="Q6" s="530" t="s">
        <v>106</v>
      </c>
      <c r="R6" s="530">
        <v>2</v>
      </c>
      <c r="S6" s="531"/>
      <c r="T6" s="543" t="s">
        <v>630</v>
      </c>
      <c r="U6" s="533" t="s">
        <v>314</v>
      </c>
      <c r="V6" s="531" t="s">
        <v>631</v>
      </c>
      <c r="W6" s="531" t="s">
        <v>584</v>
      </c>
      <c r="X6" s="535" t="s">
        <v>632</v>
      </c>
      <c r="Y6" s="555">
        <v>1</v>
      </c>
      <c r="Z6" s="555">
        <v>1</v>
      </c>
      <c r="AA6" s="555">
        <v>0</v>
      </c>
      <c r="AB6" s="561">
        <v>0</v>
      </c>
      <c r="AC6" s="555">
        <v>1</v>
      </c>
      <c r="AD6" s="555">
        <v>1</v>
      </c>
      <c r="AE6" s="555">
        <v>0</v>
      </c>
      <c r="AF6" s="561">
        <v>0</v>
      </c>
      <c r="AG6" s="555">
        <v>0</v>
      </c>
      <c r="AH6" s="555">
        <v>0</v>
      </c>
      <c r="AI6" s="555">
        <v>0</v>
      </c>
      <c r="AJ6" s="561">
        <v>0</v>
      </c>
      <c r="AK6" s="555">
        <v>0</v>
      </c>
      <c r="AL6" s="555">
        <v>0</v>
      </c>
      <c r="AM6" s="555">
        <v>0</v>
      </c>
      <c r="AN6" s="561">
        <v>0</v>
      </c>
      <c r="AP6" s="388" t="s">
        <v>134</v>
      </c>
      <c r="AQ6" s="389">
        <f>Urualltestshistlost</f>
        <v>155</v>
      </c>
      <c r="AS6" s="388" t="s">
        <v>134</v>
      </c>
      <c r="AT6" s="389">
        <f>UruRWChistlost</f>
        <v>12</v>
      </c>
    </row>
    <row r="7" spans="1:46" ht="14.95" customHeight="1" thickBot="1" x14ac:dyDescent="0.3">
      <c r="A7" s="501">
        <v>44870</v>
      </c>
      <c r="B7" s="503" t="s">
        <v>45</v>
      </c>
      <c r="C7" s="503" t="s">
        <v>38</v>
      </c>
      <c r="D7" s="503" t="s">
        <v>219</v>
      </c>
      <c r="E7" s="504" t="s">
        <v>3</v>
      </c>
      <c r="F7" s="504">
        <v>18</v>
      </c>
      <c r="G7" s="504">
        <v>34</v>
      </c>
      <c r="H7" s="504" t="s">
        <v>106</v>
      </c>
      <c r="I7" s="504" t="s">
        <v>106</v>
      </c>
      <c r="J7" s="504">
        <v>2</v>
      </c>
      <c r="K7" s="504">
        <v>1</v>
      </c>
      <c r="L7" s="504">
        <v>0</v>
      </c>
      <c r="M7" s="504">
        <v>2</v>
      </c>
      <c r="N7" s="504">
        <v>1</v>
      </c>
      <c r="O7" s="504">
        <v>0</v>
      </c>
      <c r="P7" s="504" t="s">
        <v>106</v>
      </c>
      <c r="Q7" s="504" t="s">
        <v>106</v>
      </c>
      <c r="R7" s="504">
        <v>4</v>
      </c>
      <c r="S7" s="511"/>
      <c r="T7" s="515" t="s">
        <v>783</v>
      </c>
      <c r="U7" s="513" t="s">
        <v>565</v>
      </c>
      <c r="V7" s="511" t="s">
        <v>449</v>
      </c>
      <c r="W7" s="511" t="s">
        <v>557</v>
      </c>
      <c r="X7" s="514" t="s">
        <v>782</v>
      </c>
      <c r="Y7" s="568">
        <v>1</v>
      </c>
      <c r="Z7" s="568">
        <v>0</v>
      </c>
      <c r="AA7" s="568">
        <v>0</v>
      </c>
      <c r="AB7" s="569">
        <v>1</v>
      </c>
      <c r="AC7" s="568">
        <v>0</v>
      </c>
      <c r="AD7" s="568">
        <v>0</v>
      </c>
      <c r="AE7" s="568">
        <v>0</v>
      </c>
      <c r="AF7" s="569">
        <v>0</v>
      </c>
      <c r="AG7" s="568">
        <v>1</v>
      </c>
      <c r="AH7" s="568">
        <v>0</v>
      </c>
      <c r="AI7" s="568">
        <v>0</v>
      </c>
      <c r="AJ7" s="569">
        <v>1</v>
      </c>
      <c r="AK7" s="568">
        <v>0</v>
      </c>
      <c r="AL7" s="568">
        <v>0</v>
      </c>
      <c r="AM7" s="568">
        <v>0</v>
      </c>
      <c r="AN7" s="569">
        <v>0</v>
      </c>
      <c r="AP7" s="388" t="s">
        <v>140</v>
      </c>
      <c r="AQ7" s="389">
        <f>Urualltestshistptsscored</f>
        <v>6750</v>
      </c>
      <c r="AS7" s="388" t="s">
        <v>140</v>
      </c>
      <c r="AT7" s="389">
        <f>UruRWChistptsscored</f>
        <v>188</v>
      </c>
    </row>
    <row r="8" spans="1:46" ht="14.95" customHeight="1" thickBot="1" x14ac:dyDescent="0.3">
      <c r="A8" s="518">
        <v>44877</v>
      </c>
      <c r="B8" s="517" t="s">
        <v>45</v>
      </c>
      <c r="C8" s="517" t="s">
        <v>123</v>
      </c>
      <c r="D8" s="562" t="s">
        <v>193</v>
      </c>
      <c r="E8" s="519" t="s">
        <v>1</v>
      </c>
      <c r="F8" s="504">
        <v>21</v>
      </c>
      <c r="G8" s="504">
        <v>16</v>
      </c>
      <c r="H8" s="504" t="s">
        <v>106</v>
      </c>
      <c r="I8" s="504" t="s">
        <v>106</v>
      </c>
      <c r="J8" s="504">
        <v>2</v>
      </c>
      <c r="K8" s="504">
        <v>1</v>
      </c>
      <c r="L8" s="504">
        <v>0</v>
      </c>
      <c r="M8" s="504">
        <v>3</v>
      </c>
      <c r="N8" s="504">
        <v>0</v>
      </c>
      <c r="O8" s="504">
        <v>0</v>
      </c>
      <c r="P8" s="504" t="s">
        <v>106</v>
      </c>
      <c r="Q8" s="504" t="s">
        <v>106</v>
      </c>
      <c r="R8" s="504">
        <v>1</v>
      </c>
      <c r="S8" s="506"/>
      <c r="T8" s="610" t="s">
        <v>811</v>
      </c>
      <c r="U8" s="506" t="s">
        <v>314</v>
      </c>
      <c r="V8" s="506" t="s">
        <v>808</v>
      </c>
      <c r="W8" s="506" t="s">
        <v>809</v>
      </c>
      <c r="X8" s="506" t="s">
        <v>810</v>
      </c>
      <c r="Y8" s="568">
        <v>1</v>
      </c>
      <c r="Z8" s="568">
        <v>1</v>
      </c>
      <c r="AA8" s="568">
        <v>0</v>
      </c>
      <c r="AB8" s="569">
        <v>0</v>
      </c>
      <c r="AC8" s="568">
        <v>0</v>
      </c>
      <c r="AD8" s="568">
        <v>0</v>
      </c>
      <c r="AE8" s="568">
        <v>0</v>
      </c>
      <c r="AF8" s="569">
        <v>0</v>
      </c>
      <c r="AG8" s="568">
        <v>1</v>
      </c>
      <c r="AH8" s="568">
        <v>1</v>
      </c>
      <c r="AI8" s="568">
        <v>0</v>
      </c>
      <c r="AJ8" s="569">
        <v>0</v>
      </c>
      <c r="AK8" s="568">
        <v>0</v>
      </c>
      <c r="AL8" s="568">
        <v>0</v>
      </c>
      <c r="AM8" s="568">
        <v>0</v>
      </c>
      <c r="AN8" s="569">
        <v>0</v>
      </c>
      <c r="AP8" s="388" t="s">
        <v>141</v>
      </c>
      <c r="AQ8" s="389">
        <f>Urualltestshistptscon</f>
        <v>7646</v>
      </c>
      <c r="AS8" s="388" t="s">
        <v>141</v>
      </c>
      <c r="AT8" s="389">
        <f>UruRWChistptscon</f>
        <v>718</v>
      </c>
    </row>
    <row r="9" spans="1:46" ht="14.95" customHeight="1" thickBot="1" x14ac:dyDescent="0.3">
      <c r="A9" s="619">
        <v>44884</v>
      </c>
      <c r="B9" s="620" t="s">
        <v>45</v>
      </c>
      <c r="C9" s="620" t="s">
        <v>119</v>
      </c>
      <c r="D9" s="620" t="s">
        <v>193</v>
      </c>
      <c r="E9" s="422" t="s">
        <v>3</v>
      </c>
      <c r="F9" s="566">
        <v>19</v>
      </c>
      <c r="G9" s="566">
        <v>43</v>
      </c>
      <c r="H9" s="566" t="s">
        <v>106</v>
      </c>
      <c r="I9" s="566" t="s">
        <v>106</v>
      </c>
      <c r="J9" s="566">
        <v>3</v>
      </c>
      <c r="K9" s="566">
        <v>1</v>
      </c>
      <c r="L9" s="566">
        <v>0</v>
      </c>
      <c r="M9" s="566">
        <v>0</v>
      </c>
      <c r="N9" s="566">
        <v>0</v>
      </c>
      <c r="O9" s="566">
        <v>1</v>
      </c>
      <c r="P9" s="566" t="s">
        <v>106</v>
      </c>
      <c r="Q9" s="566" t="s">
        <v>106</v>
      </c>
      <c r="R9" s="566">
        <v>7</v>
      </c>
      <c r="S9" s="579"/>
      <c r="T9" s="627" t="s">
        <v>867</v>
      </c>
      <c r="U9" s="579" t="s">
        <v>269</v>
      </c>
      <c r="V9" s="579" t="s">
        <v>808</v>
      </c>
      <c r="W9" s="579" t="s">
        <v>800</v>
      </c>
      <c r="X9" s="696" t="s">
        <v>557</v>
      </c>
      <c r="Y9" s="630">
        <v>1</v>
      </c>
      <c r="Z9" s="630">
        <v>0</v>
      </c>
      <c r="AA9" s="630">
        <v>0</v>
      </c>
      <c r="AB9" s="631">
        <v>1</v>
      </c>
      <c r="AC9" s="630">
        <v>0</v>
      </c>
      <c r="AD9" s="630">
        <v>0</v>
      </c>
      <c r="AE9" s="630">
        <v>0</v>
      </c>
      <c r="AF9" s="631">
        <v>0</v>
      </c>
      <c r="AG9" s="630">
        <v>0</v>
      </c>
      <c r="AH9" s="630">
        <v>0</v>
      </c>
      <c r="AI9" s="630">
        <v>0</v>
      </c>
      <c r="AJ9" s="631">
        <v>0</v>
      </c>
      <c r="AK9" s="630">
        <v>1</v>
      </c>
      <c r="AL9" s="630">
        <v>0</v>
      </c>
      <c r="AM9" s="630">
        <v>0</v>
      </c>
      <c r="AN9" s="631">
        <v>1</v>
      </c>
      <c r="AP9" s="388" t="s">
        <v>131</v>
      </c>
      <c r="AQ9" s="389">
        <f>Urualltestshisttriesscored</f>
        <v>818</v>
      </c>
      <c r="AS9" s="388" t="s">
        <v>131</v>
      </c>
      <c r="AT9" s="389">
        <f>UruRWChisttriesscored</f>
        <v>18</v>
      </c>
    </row>
    <row r="10" spans="1:46" ht="14.95" thickBot="1" x14ac:dyDescent="0.3">
      <c r="A10" s="310"/>
      <c r="B10" s="311"/>
      <c r="C10" s="806" t="s">
        <v>173</v>
      </c>
      <c r="D10" s="807"/>
      <c r="E10" s="808"/>
      <c r="F10" s="309">
        <f>SUM(F3:F6)</f>
        <v>70</v>
      </c>
      <c r="G10" s="309">
        <f t="shared" ref="G10:R10" si="0">SUM(G3:G6)</f>
        <v>127</v>
      </c>
      <c r="H10" s="309">
        <f t="shared" si="0"/>
        <v>0</v>
      </c>
      <c r="I10" s="309">
        <f t="shared" si="0"/>
        <v>0</v>
      </c>
      <c r="J10" s="309">
        <f t="shared" si="0"/>
        <v>10</v>
      </c>
      <c r="K10" s="309">
        <f t="shared" si="0"/>
        <v>7</v>
      </c>
      <c r="L10" s="309">
        <f t="shared" si="0"/>
        <v>0</v>
      </c>
      <c r="M10" s="309">
        <f t="shared" si="0"/>
        <v>2</v>
      </c>
      <c r="N10" s="309">
        <f t="shared" si="0"/>
        <v>5</v>
      </c>
      <c r="O10" s="309">
        <f t="shared" si="0"/>
        <v>0</v>
      </c>
      <c r="P10" s="309">
        <f t="shared" si="0"/>
        <v>0</v>
      </c>
      <c r="Q10" s="309">
        <f t="shared" si="0"/>
        <v>0</v>
      </c>
      <c r="R10" s="309">
        <f t="shared" si="0"/>
        <v>16</v>
      </c>
      <c r="W10" s="306"/>
      <c r="X10" s="453" t="s">
        <v>194</v>
      </c>
      <c r="Y10" s="309">
        <f t="shared" ref="Y10:AN10" si="1">SUM(Y3:Y6)</f>
        <v>4</v>
      </c>
      <c r="Z10" s="309">
        <f t="shared" si="1"/>
        <v>1</v>
      </c>
      <c r="AA10" s="309">
        <f t="shared" si="1"/>
        <v>0</v>
      </c>
      <c r="AB10" s="309">
        <f t="shared" si="1"/>
        <v>3</v>
      </c>
      <c r="AC10" s="307">
        <f t="shared" si="1"/>
        <v>2</v>
      </c>
      <c r="AD10" s="307">
        <f t="shared" si="1"/>
        <v>1</v>
      </c>
      <c r="AE10" s="307">
        <f t="shared" si="1"/>
        <v>0</v>
      </c>
      <c r="AF10" s="307">
        <f t="shared" si="1"/>
        <v>1</v>
      </c>
      <c r="AG10" s="308">
        <f t="shared" si="1"/>
        <v>2</v>
      </c>
      <c r="AH10" s="308">
        <f t="shared" si="1"/>
        <v>0</v>
      </c>
      <c r="AI10" s="308">
        <f t="shared" si="1"/>
        <v>0</v>
      </c>
      <c r="AJ10" s="308">
        <f t="shared" si="1"/>
        <v>2</v>
      </c>
      <c r="AK10" s="309">
        <f t="shared" si="1"/>
        <v>0</v>
      </c>
      <c r="AL10" s="309">
        <f t="shared" si="1"/>
        <v>0</v>
      </c>
      <c r="AM10" s="309">
        <f t="shared" si="1"/>
        <v>0</v>
      </c>
      <c r="AN10" s="309">
        <f t="shared" si="1"/>
        <v>0</v>
      </c>
    </row>
    <row r="11" spans="1:46" ht="14.95" thickBot="1" x14ac:dyDescent="0.3">
      <c r="A11" s="310"/>
      <c r="B11" s="311"/>
      <c r="C11" s="760" t="s">
        <v>107</v>
      </c>
      <c r="D11" s="761"/>
      <c r="E11" s="762"/>
      <c r="F11" s="422">
        <f>SUM(F3:F8)</f>
        <v>109</v>
      </c>
      <c r="G11" s="422">
        <f t="shared" ref="G11:R11" si="2">SUM(G3:G8)</f>
        <v>177</v>
      </c>
      <c r="H11" s="422">
        <f t="shared" si="2"/>
        <v>0</v>
      </c>
      <c r="I11" s="422">
        <f t="shared" si="2"/>
        <v>0</v>
      </c>
      <c r="J11" s="422">
        <f t="shared" si="2"/>
        <v>14</v>
      </c>
      <c r="K11" s="422">
        <f t="shared" si="2"/>
        <v>9</v>
      </c>
      <c r="L11" s="422">
        <f t="shared" si="2"/>
        <v>0</v>
      </c>
      <c r="M11" s="422">
        <f t="shared" si="2"/>
        <v>7</v>
      </c>
      <c r="N11" s="422">
        <f t="shared" si="2"/>
        <v>6</v>
      </c>
      <c r="O11" s="422">
        <f t="shared" si="2"/>
        <v>0</v>
      </c>
      <c r="P11" s="422">
        <f t="shared" si="2"/>
        <v>0</v>
      </c>
      <c r="Q11" s="422">
        <f t="shared" si="2"/>
        <v>0</v>
      </c>
      <c r="R11" s="422">
        <f t="shared" si="2"/>
        <v>21</v>
      </c>
      <c r="S11" s="419"/>
      <c r="T11" s="419"/>
      <c r="U11" s="419"/>
      <c r="V11" s="419"/>
      <c r="W11" s="13"/>
      <c r="X11" s="447" t="s">
        <v>107</v>
      </c>
      <c r="Y11" s="422">
        <f t="shared" ref="Y11:AN11" si="3">SUM(Y3:Y8)</f>
        <v>6</v>
      </c>
      <c r="Z11" s="422">
        <f t="shared" si="3"/>
        <v>2</v>
      </c>
      <c r="AA11" s="422">
        <f t="shared" si="3"/>
        <v>0</v>
      </c>
      <c r="AB11" s="422">
        <f t="shared" si="3"/>
        <v>4</v>
      </c>
      <c r="AC11" s="420">
        <f t="shared" si="3"/>
        <v>2</v>
      </c>
      <c r="AD11" s="420">
        <f t="shared" si="3"/>
        <v>1</v>
      </c>
      <c r="AE11" s="420">
        <f t="shared" si="3"/>
        <v>0</v>
      </c>
      <c r="AF11" s="420">
        <f t="shared" si="3"/>
        <v>1</v>
      </c>
      <c r="AG11" s="421">
        <f t="shared" si="3"/>
        <v>4</v>
      </c>
      <c r="AH11" s="421">
        <f t="shared" si="3"/>
        <v>1</v>
      </c>
      <c r="AI11" s="421">
        <f t="shared" si="3"/>
        <v>0</v>
      </c>
      <c r="AJ11" s="421">
        <f t="shared" si="3"/>
        <v>3</v>
      </c>
      <c r="AK11" s="422">
        <f t="shared" si="3"/>
        <v>0</v>
      </c>
      <c r="AL11" s="422">
        <f t="shared" si="3"/>
        <v>0</v>
      </c>
      <c r="AM11" s="422">
        <f t="shared" si="3"/>
        <v>0</v>
      </c>
      <c r="AN11" s="422">
        <f t="shared" si="3"/>
        <v>0</v>
      </c>
    </row>
    <row r="12" spans="1:46" x14ac:dyDescent="0.25">
      <c r="A12" s="788" t="s">
        <v>582</v>
      </c>
      <c r="B12" s="788"/>
      <c r="C12" s="788"/>
      <c r="D12" s="788"/>
      <c r="E12" s="788"/>
      <c r="F12" s="788"/>
      <c r="G12" s="788"/>
      <c r="H12" s="788"/>
      <c r="I12" s="788"/>
      <c r="J12" s="788"/>
      <c r="K12" s="788"/>
      <c r="L12" s="788"/>
      <c r="M12" s="788"/>
      <c r="N12" s="788"/>
      <c r="O12" s="788"/>
      <c r="P12" s="788"/>
      <c r="Q12" s="788"/>
      <c r="R12" s="788"/>
      <c r="S12" s="788"/>
      <c r="T12" s="788"/>
      <c r="U12" s="788"/>
      <c r="V12" s="788"/>
      <c r="W12" s="788"/>
      <c r="X12" s="788"/>
      <c r="Y12" s="788"/>
      <c r="Z12" s="788"/>
      <c r="AA12" s="788"/>
      <c r="AB12" s="788"/>
      <c r="AC12" s="788"/>
      <c r="AD12" s="788"/>
      <c r="AE12" s="788"/>
      <c r="AF12" s="788"/>
      <c r="AG12" s="788"/>
      <c r="AH12" s="788"/>
      <c r="AI12" s="788"/>
      <c r="AJ12" s="788"/>
      <c r="AK12" s="788"/>
      <c r="AL12" s="788"/>
      <c r="AM12" s="788"/>
      <c r="AN12" s="788"/>
    </row>
    <row r="13" spans="1:46" x14ac:dyDescent="0.25">
      <c r="A13" s="632" t="s">
        <v>728</v>
      </c>
      <c r="F13" s="14"/>
      <c r="G13" s="14"/>
      <c r="H13" s="13"/>
      <c r="I13" s="14"/>
      <c r="J13" s="14"/>
      <c r="K13" s="14"/>
      <c r="L13" s="14"/>
      <c r="M13" s="14"/>
      <c r="N13" s="14"/>
      <c r="O13" s="14"/>
      <c r="P13" s="14"/>
      <c r="Q13" s="14"/>
      <c r="R13" s="14"/>
    </row>
    <row r="14" spans="1:46" x14ac:dyDescent="0.25">
      <c r="A14" s="632" t="s">
        <v>218</v>
      </c>
      <c r="F14" s="14"/>
      <c r="G14" s="14"/>
      <c r="H14" s="13"/>
      <c r="I14" s="14"/>
      <c r="J14" s="14"/>
      <c r="K14" s="14"/>
      <c r="L14" s="14"/>
      <c r="M14" s="14"/>
      <c r="N14" s="14"/>
      <c r="O14" s="14"/>
      <c r="P14" s="14"/>
      <c r="Q14" s="14"/>
      <c r="R14" s="14"/>
    </row>
    <row r="15" spans="1:46" x14ac:dyDescent="0.25">
      <c r="A15" s="632" t="s">
        <v>868</v>
      </c>
      <c r="F15" s="14"/>
      <c r="G15" s="14"/>
      <c r="H15" s="13"/>
      <c r="I15" s="14"/>
      <c r="J15" s="14"/>
      <c r="K15" s="14"/>
      <c r="L15" s="14"/>
      <c r="M15" s="14"/>
      <c r="N15" s="14"/>
      <c r="O15" s="14"/>
      <c r="P15" s="14"/>
      <c r="Q15" s="14"/>
      <c r="R15" s="14"/>
    </row>
    <row r="16" spans="1:46" x14ac:dyDescent="0.25">
      <c r="A16" s="155"/>
      <c r="B16" t="s">
        <v>44</v>
      </c>
    </row>
    <row r="17" spans="1:2" x14ac:dyDescent="0.25">
      <c r="A17" s="153"/>
      <c r="B17" t="s">
        <v>42</v>
      </c>
    </row>
    <row r="18" spans="1:2" x14ac:dyDescent="0.25">
      <c r="A18" s="154"/>
      <c r="B18" t="s">
        <v>43</v>
      </c>
    </row>
    <row r="19" spans="1:2" x14ac:dyDescent="0.25">
      <c r="A19" s="15" t="s">
        <v>28</v>
      </c>
    </row>
  </sheetData>
  <mergeCells count="13">
    <mergeCell ref="A12:AN12"/>
    <mergeCell ref="C10:E10"/>
    <mergeCell ref="C11:E11"/>
    <mergeCell ref="A1:C1"/>
    <mergeCell ref="E1:G1"/>
    <mergeCell ref="H1:I1"/>
    <mergeCell ref="J1:M1"/>
    <mergeCell ref="N1:O1"/>
    <mergeCell ref="Y1:AB1"/>
    <mergeCell ref="AC1:AF1"/>
    <mergeCell ref="AG1:AJ1"/>
    <mergeCell ref="AK1:AN1"/>
    <mergeCell ref="P1:R1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T27"/>
  <sheetViews>
    <sheetView topLeftCell="X1" workbookViewId="0">
      <selection activeCell="AP3" sqref="AP3:AQ9"/>
    </sheetView>
  </sheetViews>
  <sheetFormatPr defaultRowHeight="14.3" x14ac:dyDescent="0.25"/>
  <cols>
    <col min="1" max="1" width="7.5" customWidth="1"/>
    <col min="2" max="2" width="4.5" bestFit="1" customWidth="1"/>
    <col min="3" max="3" width="11.5" customWidth="1"/>
    <col min="4" max="4" width="4.5" bestFit="1" customWidth="1"/>
    <col min="5" max="5" width="3.625" customWidth="1"/>
    <col min="6" max="7" width="4" bestFit="1" customWidth="1"/>
    <col min="8" max="18" width="3.625" customWidth="1"/>
    <col min="19" max="20" width="6.375" customWidth="1"/>
    <col min="21" max="21" width="30.5" customWidth="1"/>
    <col min="22" max="22" width="27.25" bestFit="1" customWidth="1"/>
    <col min="23" max="23" width="22.125" bestFit="1" customWidth="1"/>
    <col min="24" max="24" width="27.5" customWidth="1"/>
    <col min="25" max="28" width="4.375" customWidth="1"/>
    <col min="29" max="40" width="3.625" customWidth="1"/>
    <col min="42" max="42" width="13.125" bestFit="1" customWidth="1"/>
    <col min="45" max="45" width="13.125" bestFit="1" customWidth="1"/>
  </cols>
  <sheetData>
    <row r="1" spans="1:46" ht="14.95" customHeight="1" thickBot="1" x14ac:dyDescent="0.3">
      <c r="A1" s="957" t="s">
        <v>217</v>
      </c>
      <c r="B1" s="958"/>
      <c r="C1" s="958"/>
      <c r="D1" s="162"/>
      <c r="E1" s="959" t="s">
        <v>24</v>
      </c>
      <c r="F1" s="960"/>
      <c r="G1" s="961"/>
      <c r="H1" s="959" t="s">
        <v>23</v>
      </c>
      <c r="I1" s="961"/>
      <c r="J1" s="954" t="s">
        <v>6</v>
      </c>
      <c r="K1" s="955"/>
      <c r="L1" s="955"/>
      <c r="M1" s="956"/>
      <c r="N1" s="954" t="s">
        <v>7</v>
      </c>
      <c r="O1" s="956"/>
      <c r="P1" s="954" t="s">
        <v>25</v>
      </c>
      <c r="Q1" s="955"/>
      <c r="R1" s="956"/>
      <c r="S1" s="432" t="s">
        <v>8</v>
      </c>
      <c r="T1" s="432" t="s">
        <v>9</v>
      </c>
      <c r="U1" s="1" t="s">
        <v>10</v>
      </c>
      <c r="V1" s="6" t="s">
        <v>11</v>
      </c>
      <c r="W1" s="52" t="s">
        <v>26</v>
      </c>
      <c r="X1" s="163" t="s">
        <v>27</v>
      </c>
      <c r="Y1" s="948" t="s">
        <v>20</v>
      </c>
      <c r="Z1" s="753"/>
      <c r="AA1" s="753"/>
      <c r="AB1" s="754"/>
      <c r="AC1" s="948" t="s">
        <v>61</v>
      </c>
      <c r="AD1" s="753"/>
      <c r="AE1" s="753"/>
      <c r="AF1" s="754"/>
      <c r="AG1" s="948" t="s">
        <v>62</v>
      </c>
      <c r="AH1" s="753"/>
      <c r="AI1" s="753"/>
      <c r="AJ1" s="754"/>
      <c r="AK1" s="948" t="s">
        <v>63</v>
      </c>
      <c r="AL1" s="753"/>
      <c r="AM1" s="753"/>
      <c r="AN1" s="754"/>
      <c r="AP1" s="416" t="s">
        <v>164</v>
      </c>
      <c r="AQ1" s="397"/>
      <c r="AR1" s="397"/>
      <c r="AS1" s="416" t="s">
        <v>164</v>
      </c>
    </row>
    <row r="2" spans="1:46" ht="14.95" customHeight="1" thickBot="1" x14ac:dyDescent="0.3">
      <c r="A2" s="7" t="s">
        <v>19</v>
      </c>
      <c r="B2" s="8" t="s">
        <v>18</v>
      </c>
      <c r="C2" s="9" t="s">
        <v>17</v>
      </c>
      <c r="D2" s="10" t="s">
        <v>41</v>
      </c>
      <c r="E2" s="10" t="s">
        <v>16</v>
      </c>
      <c r="F2" s="10" t="s">
        <v>4</v>
      </c>
      <c r="G2" s="10" t="s">
        <v>5</v>
      </c>
      <c r="H2" s="11" t="s">
        <v>12</v>
      </c>
      <c r="I2" s="11" t="s">
        <v>3</v>
      </c>
      <c r="J2" s="11" t="s">
        <v>12</v>
      </c>
      <c r="K2" s="11" t="s">
        <v>13</v>
      </c>
      <c r="L2" s="11" t="s">
        <v>2</v>
      </c>
      <c r="M2" s="11" t="s">
        <v>14</v>
      </c>
      <c r="N2" s="11" t="s">
        <v>15</v>
      </c>
      <c r="O2" s="11" t="s">
        <v>16</v>
      </c>
      <c r="P2" s="11" t="s">
        <v>21</v>
      </c>
      <c r="Q2" s="11" t="s">
        <v>22</v>
      </c>
      <c r="R2" s="11" t="s">
        <v>12</v>
      </c>
      <c r="S2" s="2"/>
      <c r="T2" s="3"/>
      <c r="U2" s="4"/>
      <c r="V2" s="2"/>
      <c r="W2" s="53"/>
      <c r="X2" s="5"/>
      <c r="Y2" s="342" t="s">
        <v>0</v>
      </c>
      <c r="Z2" s="342" t="s">
        <v>1</v>
      </c>
      <c r="AA2" s="342" t="s">
        <v>2</v>
      </c>
      <c r="AB2" s="342" t="s">
        <v>3</v>
      </c>
      <c r="AC2" s="342" t="s">
        <v>0</v>
      </c>
      <c r="AD2" s="342" t="s">
        <v>1</v>
      </c>
      <c r="AE2" s="342" t="s">
        <v>2</v>
      </c>
      <c r="AF2" s="342" t="s">
        <v>3</v>
      </c>
      <c r="AG2" s="342" t="s">
        <v>0</v>
      </c>
      <c r="AH2" s="342" t="s">
        <v>1</v>
      </c>
      <c r="AI2" s="342" t="s">
        <v>2</v>
      </c>
      <c r="AJ2" s="342" t="s">
        <v>3</v>
      </c>
      <c r="AK2" s="342" t="s">
        <v>0</v>
      </c>
      <c r="AL2" s="342" t="s">
        <v>1</v>
      </c>
      <c r="AM2" s="342" t="s">
        <v>2</v>
      </c>
      <c r="AN2" s="342" t="s">
        <v>3</v>
      </c>
      <c r="AP2" s="367" t="s">
        <v>107</v>
      </c>
      <c r="AQ2" s="204"/>
      <c r="AS2" s="414" t="s">
        <v>130</v>
      </c>
      <c r="AT2" s="204"/>
    </row>
    <row r="3" spans="1:46" ht="14.95" customHeight="1" thickBot="1" x14ac:dyDescent="0.3">
      <c r="A3" s="501">
        <v>44597</v>
      </c>
      <c r="B3" s="503" t="s">
        <v>46</v>
      </c>
      <c r="C3" s="503" t="s">
        <v>39</v>
      </c>
      <c r="D3" s="503" t="s">
        <v>115</v>
      </c>
      <c r="E3" s="504" t="s">
        <v>3</v>
      </c>
      <c r="F3" s="504">
        <v>7</v>
      </c>
      <c r="G3" s="504">
        <v>29</v>
      </c>
      <c r="H3" s="504">
        <v>0</v>
      </c>
      <c r="I3" s="504">
        <v>0</v>
      </c>
      <c r="J3" s="504">
        <v>1</v>
      </c>
      <c r="K3" s="504">
        <v>1</v>
      </c>
      <c r="L3" s="504">
        <v>0</v>
      </c>
      <c r="M3" s="504">
        <v>0</v>
      </c>
      <c r="N3" s="504">
        <v>1</v>
      </c>
      <c r="O3" s="504">
        <v>0</v>
      </c>
      <c r="P3" s="504">
        <v>1</v>
      </c>
      <c r="Q3" s="504">
        <v>0</v>
      </c>
      <c r="R3" s="504">
        <v>4</v>
      </c>
      <c r="S3" s="511">
        <v>51700</v>
      </c>
      <c r="T3" s="515" t="s">
        <v>262</v>
      </c>
      <c r="U3" s="513" t="s">
        <v>258</v>
      </c>
      <c r="V3" s="511" t="s">
        <v>259</v>
      </c>
      <c r="W3" s="506" t="s">
        <v>260</v>
      </c>
      <c r="X3" s="514" t="s">
        <v>261</v>
      </c>
      <c r="Y3" s="509">
        <v>1</v>
      </c>
      <c r="Z3" s="509">
        <v>0</v>
      </c>
      <c r="AA3" s="509">
        <v>0</v>
      </c>
      <c r="AB3" s="510">
        <v>1</v>
      </c>
      <c r="AC3" s="509">
        <v>0</v>
      </c>
      <c r="AD3" s="509">
        <v>0</v>
      </c>
      <c r="AE3" s="509">
        <v>0</v>
      </c>
      <c r="AF3" s="510">
        <v>0</v>
      </c>
      <c r="AG3" s="509">
        <v>1</v>
      </c>
      <c r="AH3" s="509">
        <v>0</v>
      </c>
      <c r="AI3" s="509">
        <v>0</v>
      </c>
      <c r="AJ3" s="510">
        <v>1</v>
      </c>
      <c r="AK3" s="509">
        <v>0</v>
      </c>
      <c r="AL3" s="509">
        <v>0</v>
      </c>
      <c r="AM3" s="509">
        <v>0</v>
      </c>
      <c r="AN3" s="510">
        <v>0</v>
      </c>
      <c r="AP3" s="386" t="s">
        <v>132</v>
      </c>
      <c r="AQ3" s="387">
        <f>Walesalltestshistplayed</f>
        <v>767</v>
      </c>
      <c r="AS3" s="386" t="s">
        <v>132</v>
      </c>
      <c r="AT3" s="387">
        <f>WalesRWChistplayed</f>
        <v>44</v>
      </c>
    </row>
    <row r="4" spans="1:46" ht="14.95" customHeight="1" thickBot="1" x14ac:dyDescent="0.3">
      <c r="A4" s="528">
        <v>44604</v>
      </c>
      <c r="B4" s="529" t="s">
        <v>46</v>
      </c>
      <c r="C4" s="529" t="s">
        <v>35</v>
      </c>
      <c r="D4" s="529" t="s">
        <v>112</v>
      </c>
      <c r="E4" s="530" t="s">
        <v>1</v>
      </c>
      <c r="F4" s="530">
        <v>20</v>
      </c>
      <c r="G4" s="530">
        <v>17</v>
      </c>
      <c r="H4" s="530">
        <v>0</v>
      </c>
      <c r="I4" s="530">
        <v>0</v>
      </c>
      <c r="J4" s="530">
        <v>1</v>
      </c>
      <c r="K4" s="530">
        <v>0</v>
      </c>
      <c r="L4" s="530">
        <v>1</v>
      </c>
      <c r="M4" s="530">
        <v>4</v>
      </c>
      <c r="N4" s="530">
        <v>0</v>
      </c>
      <c r="O4" s="530">
        <v>0</v>
      </c>
      <c r="P4" s="530">
        <v>0</v>
      </c>
      <c r="Q4" s="530">
        <v>1</v>
      </c>
      <c r="R4" s="530">
        <v>1</v>
      </c>
      <c r="S4" s="531">
        <v>73782</v>
      </c>
      <c r="T4" s="580" t="s">
        <v>303</v>
      </c>
      <c r="U4" s="533" t="s">
        <v>268</v>
      </c>
      <c r="V4" s="531" t="s">
        <v>283</v>
      </c>
      <c r="W4" s="534" t="s">
        <v>304</v>
      </c>
      <c r="X4" s="535" t="s">
        <v>305</v>
      </c>
      <c r="Y4" s="536">
        <v>1</v>
      </c>
      <c r="Z4" s="536">
        <v>1</v>
      </c>
      <c r="AA4" s="536">
        <v>0</v>
      </c>
      <c r="AB4" s="537">
        <v>0</v>
      </c>
      <c r="AC4" s="536">
        <v>1</v>
      </c>
      <c r="AD4" s="536">
        <v>1</v>
      </c>
      <c r="AE4" s="536">
        <v>0</v>
      </c>
      <c r="AF4" s="537">
        <v>0</v>
      </c>
      <c r="AG4" s="536">
        <v>0</v>
      </c>
      <c r="AH4" s="536">
        <v>0</v>
      </c>
      <c r="AI4" s="536">
        <v>0</v>
      </c>
      <c r="AJ4" s="537">
        <v>0</v>
      </c>
      <c r="AK4" s="536">
        <v>0</v>
      </c>
      <c r="AL4" s="536">
        <v>0</v>
      </c>
      <c r="AM4" s="536">
        <v>0</v>
      </c>
      <c r="AN4" s="537">
        <v>0</v>
      </c>
      <c r="AP4" s="388" t="s">
        <v>133</v>
      </c>
      <c r="AQ4" s="389">
        <f>Walesalltestshistwon</f>
        <v>398</v>
      </c>
      <c r="AS4" s="388" t="s">
        <v>133</v>
      </c>
      <c r="AT4" s="389">
        <f>WalesRWChistwon</f>
        <v>26</v>
      </c>
    </row>
    <row r="5" spans="1:46" ht="14.95" customHeight="1" thickBot="1" x14ac:dyDescent="0.3">
      <c r="A5" s="501">
        <v>44618</v>
      </c>
      <c r="B5" s="503" t="s">
        <v>46</v>
      </c>
      <c r="C5" s="503" t="s">
        <v>30</v>
      </c>
      <c r="D5" s="503" t="s">
        <v>116</v>
      </c>
      <c r="E5" s="504" t="s">
        <v>3</v>
      </c>
      <c r="F5" s="504">
        <v>19</v>
      </c>
      <c r="G5" s="504">
        <v>23</v>
      </c>
      <c r="H5" s="504">
        <v>0</v>
      </c>
      <c r="I5" s="504">
        <v>1</v>
      </c>
      <c r="J5" s="504">
        <v>3</v>
      </c>
      <c r="K5" s="504">
        <v>2</v>
      </c>
      <c r="L5" s="504">
        <v>0</v>
      </c>
      <c r="M5" s="504">
        <v>0</v>
      </c>
      <c r="N5" s="504">
        <v>1</v>
      </c>
      <c r="O5" s="504">
        <v>0</v>
      </c>
      <c r="P5" s="504">
        <v>0</v>
      </c>
      <c r="Q5" s="504">
        <v>0</v>
      </c>
      <c r="R5" s="504">
        <v>1</v>
      </c>
      <c r="S5" s="511">
        <v>81621</v>
      </c>
      <c r="T5" s="515" t="s">
        <v>328</v>
      </c>
      <c r="U5" s="513" t="s">
        <v>282</v>
      </c>
      <c r="V5" s="511" t="s">
        <v>312</v>
      </c>
      <c r="W5" s="506" t="s">
        <v>260</v>
      </c>
      <c r="X5" s="514" t="s">
        <v>299</v>
      </c>
      <c r="Y5" s="509">
        <v>1</v>
      </c>
      <c r="Z5" s="509">
        <v>0</v>
      </c>
      <c r="AA5" s="509">
        <v>0</v>
      </c>
      <c r="AB5" s="510">
        <v>1</v>
      </c>
      <c r="AC5" s="509">
        <v>0</v>
      </c>
      <c r="AD5" s="509">
        <v>0</v>
      </c>
      <c r="AE5" s="509">
        <v>0</v>
      </c>
      <c r="AF5" s="510">
        <v>0</v>
      </c>
      <c r="AG5" s="509">
        <v>1</v>
      </c>
      <c r="AH5" s="509">
        <v>0</v>
      </c>
      <c r="AI5" s="509">
        <v>0</v>
      </c>
      <c r="AJ5" s="510">
        <v>1</v>
      </c>
      <c r="AK5" s="509">
        <v>0</v>
      </c>
      <c r="AL5" s="509">
        <v>0</v>
      </c>
      <c r="AM5" s="509">
        <v>0</v>
      </c>
      <c r="AN5" s="510">
        <v>0</v>
      </c>
      <c r="AP5" s="388" t="s">
        <v>139</v>
      </c>
      <c r="AQ5" s="389">
        <f>Walesalltestshistdrawn</f>
        <v>30</v>
      </c>
      <c r="AS5" s="388" t="s">
        <v>139</v>
      </c>
      <c r="AT5" s="389">
        <f>WalesRWChistdrawn</f>
        <v>0</v>
      </c>
    </row>
    <row r="6" spans="1:46" ht="14.95" customHeight="1" thickBot="1" x14ac:dyDescent="0.3">
      <c r="A6" s="528">
        <v>44631</v>
      </c>
      <c r="B6" s="529" t="s">
        <v>46</v>
      </c>
      <c r="C6" s="529" t="s">
        <v>34</v>
      </c>
      <c r="D6" s="529" t="s">
        <v>112</v>
      </c>
      <c r="E6" s="530" t="s">
        <v>3</v>
      </c>
      <c r="F6" s="530">
        <v>9</v>
      </c>
      <c r="G6" s="530">
        <v>13</v>
      </c>
      <c r="H6" s="530">
        <v>0</v>
      </c>
      <c r="I6" s="530">
        <v>1</v>
      </c>
      <c r="J6" s="530">
        <v>0</v>
      </c>
      <c r="K6" s="530">
        <v>0</v>
      </c>
      <c r="L6" s="530">
        <v>0</v>
      </c>
      <c r="M6" s="530">
        <v>3</v>
      </c>
      <c r="N6" s="530">
        <v>0</v>
      </c>
      <c r="O6" s="530">
        <v>0</v>
      </c>
      <c r="P6" s="530">
        <v>0</v>
      </c>
      <c r="Q6" s="530">
        <v>0</v>
      </c>
      <c r="R6" s="530">
        <v>1</v>
      </c>
      <c r="S6" s="531">
        <v>63208</v>
      </c>
      <c r="T6" s="532" t="s">
        <v>350</v>
      </c>
      <c r="U6" s="533" t="s">
        <v>339</v>
      </c>
      <c r="V6" s="531" t="s">
        <v>323</v>
      </c>
      <c r="W6" s="534" t="s">
        <v>258</v>
      </c>
      <c r="X6" s="535" t="s">
        <v>289</v>
      </c>
      <c r="Y6" s="536">
        <v>1</v>
      </c>
      <c r="Z6" s="536">
        <v>0</v>
      </c>
      <c r="AA6" s="536">
        <v>0</v>
      </c>
      <c r="AB6" s="537">
        <v>1</v>
      </c>
      <c r="AC6" s="536">
        <v>1</v>
      </c>
      <c r="AD6" s="536">
        <v>0</v>
      </c>
      <c r="AE6" s="536">
        <v>0</v>
      </c>
      <c r="AF6" s="537">
        <v>1</v>
      </c>
      <c r="AG6" s="536">
        <v>0</v>
      </c>
      <c r="AH6" s="536">
        <v>0</v>
      </c>
      <c r="AI6" s="536">
        <v>0</v>
      </c>
      <c r="AJ6" s="537">
        <v>0</v>
      </c>
      <c r="AK6" s="536">
        <v>0</v>
      </c>
      <c r="AL6" s="536">
        <v>0</v>
      </c>
      <c r="AM6" s="536">
        <v>0</v>
      </c>
      <c r="AN6" s="537">
        <v>0</v>
      </c>
      <c r="AP6" s="388" t="s">
        <v>134</v>
      </c>
      <c r="AQ6" s="389">
        <f>Walesalltestshistlost</f>
        <v>338</v>
      </c>
      <c r="AS6" s="388" t="s">
        <v>134</v>
      </c>
      <c r="AT6" s="389">
        <f>WalesRWChistlost</f>
        <v>18</v>
      </c>
    </row>
    <row r="7" spans="1:46" ht="14.95" customHeight="1" thickBot="1" x14ac:dyDescent="0.3">
      <c r="A7" s="528">
        <v>44639</v>
      </c>
      <c r="B7" s="529" t="s">
        <v>46</v>
      </c>
      <c r="C7" s="529" t="s">
        <v>33</v>
      </c>
      <c r="D7" s="529" t="s">
        <v>112</v>
      </c>
      <c r="E7" s="530" t="s">
        <v>3</v>
      </c>
      <c r="F7" s="530">
        <v>21</v>
      </c>
      <c r="G7" s="530">
        <v>22</v>
      </c>
      <c r="H7" s="530">
        <v>0</v>
      </c>
      <c r="I7" s="530">
        <v>1</v>
      </c>
      <c r="J7" s="530">
        <v>3</v>
      </c>
      <c r="K7" s="530">
        <v>3</v>
      </c>
      <c r="L7" s="530">
        <v>0</v>
      </c>
      <c r="M7" s="530">
        <v>0</v>
      </c>
      <c r="N7" s="530">
        <v>0</v>
      </c>
      <c r="O7" s="530">
        <v>0</v>
      </c>
      <c r="P7" s="530">
        <v>0</v>
      </c>
      <c r="Q7" s="530">
        <v>0</v>
      </c>
      <c r="R7" s="530">
        <v>1</v>
      </c>
      <c r="S7" s="534">
        <v>67134</v>
      </c>
      <c r="T7" s="538" t="s">
        <v>383</v>
      </c>
      <c r="U7" s="534" t="s">
        <v>313</v>
      </c>
      <c r="V7" s="534" t="s">
        <v>384</v>
      </c>
      <c r="W7" s="534" t="s">
        <v>339</v>
      </c>
      <c r="X7" s="535" t="s">
        <v>385</v>
      </c>
      <c r="Y7" s="536">
        <v>1</v>
      </c>
      <c r="Z7" s="536">
        <v>0</v>
      </c>
      <c r="AA7" s="536">
        <v>0</v>
      </c>
      <c r="AB7" s="537">
        <v>1</v>
      </c>
      <c r="AC7" s="536">
        <v>1</v>
      </c>
      <c r="AD7" s="536">
        <v>0</v>
      </c>
      <c r="AE7" s="536">
        <v>0</v>
      </c>
      <c r="AF7" s="537">
        <v>1</v>
      </c>
      <c r="AG7" s="536">
        <v>0</v>
      </c>
      <c r="AH7" s="536">
        <v>0</v>
      </c>
      <c r="AI7" s="536">
        <v>0</v>
      </c>
      <c r="AJ7" s="537">
        <v>0</v>
      </c>
      <c r="AK7" s="536">
        <v>0</v>
      </c>
      <c r="AL7" s="536">
        <v>0</v>
      </c>
      <c r="AM7" s="536">
        <v>0</v>
      </c>
      <c r="AN7" s="537">
        <v>0</v>
      </c>
      <c r="AP7" s="388" t="s">
        <v>140</v>
      </c>
      <c r="AQ7" s="389">
        <f>Walesalltestshistptsscored</f>
        <v>13469</v>
      </c>
      <c r="AS7" s="388" t="s">
        <v>140</v>
      </c>
      <c r="AT7" s="389">
        <f>WalesRWChistptsscored</f>
        <v>1238</v>
      </c>
    </row>
    <row r="8" spans="1:46" ht="14.95" customHeight="1" thickBot="1" x14ac:dyDescent="0.35">
      <c r="A8" s="649">
        <v>44751</v>
      </c>
      <c r="B8" s="650" t="s">
        <v>186</v>
      </c>
      <c r="C8" s="517" t="s">
        <v>177</v>
      </c>
      <c r="D8" s="650" t="s">
        <v>515</v>
      </c>
      <c r="E8" s="519" t="s">
        <v>3</v>
      </c>
      <c r="F8" s="421">
        <v>29</v>
      </c>
      <c r="G8" s="421">
        <v>32</v>
      </c>
      <c r="H8" s="421" t="s">
        <v>106</v>
      </c>
      <c r="I8" s="421" t="s">
        <v>106</v>
      </c>
      <c r="J8" s="421">
        <v>3</v>
      </c>
      <c r="K8" s="421">
        <v>1</v>
      </c>
      <c r="L8" s="421">
        <v>1</v>
      </c>
      <c r="M8" s="421">
        <v>3</v>
      </c>
      <c r="N8" s="421">
        <v>4</v>
      </c>
      <c r="O8" s="421">
        <v>0</v>
      </c>
      <c r="P8" s="421" t="s">
        <v>106</v>
      </c>
      <c r="Q8" s="421" t="s">
        <v>106</v>
      </c>
      <c r="R8" s="421">
        <v>4</v>
      </c>
      <c r="S8" s="506">
        <v>51762</v>
      </c>
      <c r="T8" s="521" t="s">
        <v>519</v>
      </c>
      <c r="U8" s="506" t="s">
        <v>517</v>
      </c>
      <c r="V8" s="506" t="s">
        <v>518</v>
      </c>
      <c r="W8" s="506" t="s">
        <v>261</v>
      </c>
      <c r="X8" s="506" t="s">
        <v>289</v>
      </c>
      <c r="Y8" s="509">
        <v>1</v>
      </c>
      <c r="Z8" s="509">
        <v>0</v>
      </c>
      <c r="AA8" s="509">
        <v>0</v>
      </c>
      <c r="AB8" s="510">
        <v>0</v>
      </c>
      <c r="AC8" s="509">
        <v>1</v>
      </c>
      <c r="AD8" s="509">
        <v>0</v>
      </c>
      <c r="AE8" s="509">
        <v>0</v>
      </c>
      <c r="AF8" s="510">
        <v>0</v>
      </c>
      <c r="AG8" s="509">
        <v>1</v>
      </c>
      <c r="AH8" s="509">
        <v>0</v>
      </c>
      <c r="AI8" s="509">
        <v>0</v>
      </c>
      <c r="AJ8" s="510">
        <v>1</v>
      </c>
      <c r="AK8" s="509">
        <v>0</v>
      </c>
      <c r="AL8" s="509">
        <v>0</v>
      </c>
      <c r="AM8" s="509">
        <v>0</v>
      </c>
      <c r="AN8" s="510">
        <v>0</v>
      </c>
      <c r="AP8" s="388" t="s">
        <v>141</v>
      </c>
      <c r="AQ8" s="389">
        <f>Walesalltestshistptscon</f>
        <v>11891</v>
      </c>
      <c r="AS8" s="388" t="s">
        <v>141</v>
      </c>
      <c r="AT8" s="389">
        <f>WalesRWChistptscon</f>
        <v>865</v>
      </c>
    </row>
    <row r="9" spans="1:46" ht="14.95" customHeight="1" thickBot="1" x14ac:dyDescent="0.3">
      <c r="A9" s="518">
        <v>44758</v>
      </c>
      <c r="B9" s="517" t="s">
        <v>186</v>
      </c>
      <c r="C9" s="517" t="s">
        <v>177</v>
      </c>
      <c r="D9" s="562" t="s">
        <v>569</v>
      </c>
      <c r="E9" s="519" t="s">
        <v>1</v>
      </c>
      <c r="F9" s="504">
        <v>13</v>
      </c>
      <c r="G9" s="504">
        <v>12</v>
      </c>
      <c r="H9" s="504" t="s">
        <v>106</v>
      </c>
      <c r="I9" s="504" t="s">
        <v>106</v>
      </c>
      <c r="J9" s="504">
        <v>1</v>
      </c>
      <c r="K9" s="504">
        <v>1</v>
      </c>
      <c r="L9" s="504">
        <v>0</v>
      </c>
      <c r="M9" s="504">
        <v>2</v>
      </c>
      <c r="N9" s="504">
        <v>1</v>
      </c>
      <c r="O9" s="504">
        <v>0</v>
      </c>
      <c r="P9" s="504" t="s">
        <v>106</v>
      </c>
      <c r="Q9" s="504" t="s">
        <v>106</v>
      </c>
      <c r="R9" s="504">
        <v>0</v>
      </c>
      <c r="S9" s="506">
        <v>46000</v>
      </c>
      <c r="T9" s="680" t="s">
        <v>570</v>
      </c>
      <c r="U9" s="506" t="s">
        <v>261</v>
      </c>
      <c r="V9" s="506" t="s">
        <v>283</v>
      </c>
      <c r="W9" s="506" t="s">
        <v>339</v>
      </c>
      <c r="X9" s="526" t="s">
        <v>289</v>
      </c>
      <c r="Y9" s="509">
        <v>1</v>
      </c>
      <c r="Z9" s="613">
        <v>1</v>
      </c>
      <c r="AA9" s="613">
        <v>0</v>
      </c>
      <c r="AB9" s="614">
        <v>0</v>
      </c>
      <c r="AC9" s="613">
        <v>0</v>
      </c>
      <c r="AD9" s="613">
        <v>0</v>
      </c>
      <c r="AE9" s="613">
        <v>0</v>
      </c>
      <c r="AF9" s="614">
        <v>0</v>
      </c>
      <c r="AG9" s="613">
        <v>1</v>
      </c>
      <c r="AH9" s="613">
        <v>1</v>
      </c>
      <c r="AI9" s="613">
        <v>0</v>
      </c>
      <c r="AJ9" s="614">
        <v>0</v>
      </c>
      <c r="AK9" s="613">
        <v>0</v>
      </c>
      <c r="AL9" s="613">
        <v>0</v>
      </c>
      <c r="AM9" s="613">
        <v>0</v>
      </c>
      <c r="AN9" s="614">
        <v>0</v>
      </c>
      <c r="AP9" s="388" t="s">
        <v>131</v>
      </c>
      <c r="AQ9" s="389">
        <f>Walesalltestshisttriesscored</f>
        <v>1683</v>
      </c>
      <c r="AS9" s="388" t="s">
        <v>131</v>
      </c>
      <c r="AT9" s="389">
        <f>WalesRWChisttriesscored</f>
        <v>149</v>
      </c>
    </row>
    <row r="10" spans="1:46" ht="15.8" customHeight="1" thickBot="1" x14ac:dyDescent="0.3">
      <c r="A10" s="518">
        <v>44765</v>
      </c>
      <c r="B10" s="517" t="s">
        <v>186</v>
      </c>
      <c r="C10" s="517" t="s">
        <v>177</v>
      </c>
      <c r="D10" s="517" t="s">
        <v>615</v>
      </c>
      <c r="E10" s="519" t="s">
        <v>3</v>
      </c>
      <c r="F10" s="504">
        <v>14</v>
      </c>
      <c r="G10" s="504">
        <v>30</v>
      </c>
      <c r="H10" s="504" t="s">
        <v>106</v>
      </c>
      <c r="I10" s="504" t="s">
        <v>106</v>
      </c>
      <c r="J10" s="504">
        <v>1</v>
      </c>
      <c r="K10" s="504">
        <v>0</v>
      </c>
      <c r="L10" s="504">
        <v>0</v>
      </c>
      <c r="M10" s="504">
        <v>3</v>
      </c>
      <c r="N10" s="504">
        <v>0</v>
      </c>
      <c r="O10" s="504">
        <v>0</v>
      </c>
      <c r="P10" s="504" t="s">
        <v>106</v>
      </c>
      <c r="Q10" s="504" t="s">
        <v>106</v>
      </c>
      <c r="R10" s="504">
        <v>1</v>
      </c>
      <c r="S10" s="506">
        <v>51347</v>
      </c>
      <c r="T10" s="520" t="s">
        <v>625</v>
      </c>
      <c r="U10" s="506" t="s">
        <v>339</v>
      </c>
      <c r="V10" s="506" t="s">
        <v>283</v>
      </c>
      <c r="W10" s="506" t="s">
        <v>261</v>
      </c>
      <c r="X10" s="506" t="s">
        <v>517</v>
      </c>
      <c r="Y10" s="509">
        <v>1</v>
      </c>
      <c r="Z10" s="509">
        <v>0</v>
      </c>
      <c r="AA10" s="509">
        <v>0</v>
      </c>
      <c r="AB10" s="510">
        <v>1</v>
      </c>
      <c r="AC10" s="509">
        <v>0</v>
      </c>
      <c r="AD10" s="509">
        <v>0</v>
      </c>
      <c r="AE10" s="509">
        <v>0</v>
      </c>
      <c r="AF10" s="510">
        <v>0</v>
      </c>
      <c r="AG10" s="509">
        <v>1</v>
      </c>
      <c r="AH10" s="509">
        <v>0</v>
      </c>
      <c r="AI10" s="509">
        <v>0</v>
      </c>
      <c r="AJ10" s="510">
        <v>1</v>
      </c>
      <c r="AK10" s="509">
        <v>0</v>
      </c>
      <c r="AL10" s="509">
        <v>0</v>
      </c>
      <c r="AM10" s="509">
        <v>0</v>
      </c>
      <c r="AN10" s="510">
        <v>0</v>
      </c>
    </row>
    <row r="11" spans="1:46" ht="15.8" customHeight="1" thickBot="1" x14ac:dyDescent="0.3">
      <c r="A11" s="550">
        <v>44870</v>
      </c>
      <c r="B11" s="551" t="s">
        <v>721</v>
      </c>
      <c r="C11" s="556" t="s">
        <v>118</v>
      </c>
      <c r="D11" s="556" t="s">
        <v>112</v>
      </c>
      <c r="E11" s="530" t="s">
        <v>3</v>
      </c>
      <c r="F11" s="530">
        <v>23</v>
      </c>
      <c r="G11" s="530">
        <v>55</v>
      </c>
      <c r="H11" s="530" t="s">
        <v>106</v>
      </c>
      <c r="I11" s="530" t="s">
        <v>106</v>
      </c>
      <c r="J11" s="530">
        <v>2</v>
      </c>
      <c r="K11" s="530">
        <v>2</v>
      </c>
      <c r="L11" s="530">
        <v>0</v>
      </c>
      <c r="M11" s="530">
        <v>3</v>
      </c>
      <c r="N11" s="530">
        <v>0</v>
      </c>
      <c r="O11" s="530">
        <v>0</v>
      </c>
      <c r="P11" s="530" t="s">
        <v>106</v>
      </c>
      <c r="Q11" s="530" t="s">
        <v>106</v>
      </c>
      <c r="R11" s="530">
        <v>8</v>
      </c>
      <c r="S11" s="439">
        <v>72000</v>
      </c>
      <c r="T11" s="558" t="s">
        <v>298</v>
      </c>
      <c r="U11" s="439" t="s">
        <v>304</v>
      </c>
      <c r="V11" s="439" t="s">
        <v>312</v>
      </c>
      <c r="W11" s="439" t="s">
        <v>322</v>
      </c>
      <c r="X11" s="535" t="s">
        <v>792</v>
      </c>
      <c r="Y11" s="536">
        <v>1</v>
      </c>
      <c r="Z11" s="536">
        <v>0</v>
      </c>
      <c r="AA11" s="536">
        <v>0</v>
      </c>
      <c r="AB11" s="537">
        <v>1</v>
      </c>
      <c r="AC11" s="536">
        <v>1</v>
      </c>
      <c r="AD11" s="536">
        <v>0</v>
      </c>
      <c r="AE11" s="536">
        <v>0</v>
      </c>
      <c r="AF11" s="537">
        <v>1</v>
      </c>
      <c r="AG11" s="536">
        <v>0</v>
      </c>
      <c r="AH11" s="536">
        <v>0</v>
      </c>
      <c r="AI11" s="536">
        <v>0</v>
      </c>
      <c r="AJ11" s="537">
        <v>0</v>
      </c>
      <c r="AK11" s="536">
        <v>0</v>
      </c>
      <c r="AL11" s="536">
        <v>0</v>
      </c>
      <c r="AM11" s="536">
        <v>0</v>
      </c>
      <c r="AN11" s="537">
        <v>0</v>
      </c>
    </row>
    <row r="12" spans="1:46" ht="17" thickBot="1" x14ac:dyDescent="0.35">
      <c r="A12" s="550">
        <v>44877</v>
      </c>
      <c r="B12" s="551" t="s">
        <v>721</v>
      </c>
      <c r="C12" s="556" t="s">
        <v>37</v>
      </c>
      <c r="D12" s="556" t="s">
        <v>112</v>
      </c>
      <c r="E12" s="530" t="s">
        <v>1</v>
      </c>
      <c r="F12" s="530">
        <v>20</v>
      </c>
      <c r="G12" s="530">
        <v>13</v>
      </c>
      <c r="H12" s="530" t="s">
        <v>106</v>
      </c>
      <c r="I12" s="530" t="s">
        <v>106</v>
      </c>
      <c r="J12" s="530">
        <v>2</v>
      </c>
      <c r="K12" s="530">
        <v>2</v>
      </c>
      <c r="L12" s="530">
        <v>0</v>
      </c>
      <c r="M12" s="530">
        <v>2</v>
      </c>
      <c r="N12" s="530">
        <v>1</v>
      </c>
      <c r="O12" s="530">
        <v>0</v>
      </c>
      <c r="P12" s="530" t="s">
        <v>106</v>
      </c>
      <c r="Q12" s="530" t="s">
        <v>106</v>
      </c>
      <c r="R12" s="530">
        <v>1</v>
      </c>
      <c r="S12" s="439">
        <v>59662</v>
      </c>
      <c r="T12" s="564" t="s">
        <v>265</v>
      </c>
      <c r="U12" s="439" t="s">
        <v>266</v>
      </c>
      <c r="V12" s="439" t="s">
        <v>505</v>
      </c>
      <c r="W12" s="439" t="s">
        <v>261</v>
      </c>
      <c r="X12" s="535" t="s">
        <v>289</v>
      </c>
      <c r="Y12" s="536">
        <v>1</v>
      </c>
      <c r="Z12" s="536">
        <v>1</v>
      </c>
      <c r="AA12" s="536">
        <v>0</v>
      </c>
      <c r="AB12" s="537">
        <v>0</v>
      </c>
      <c r="AC12" s="536">
        <v>1</v>
      </c>
      <c r="AD12" s="536">
        <v>1</v>
      </c>
      <c r="AE12" s="536">
        <v>0</v>
      </c>
      <c r="AF12" s="537">
        <v>0</v>
      </c>
      <c r="AG12" s="536">
        <v>0</v>
      </c>
      <c r="AH12" s="536">
        <v>0</v>
      </c>
      <c r="AI12" s="536">
        <v>0</v>
      </c>
      <c r="AJ12" s="537">
        <v>0</v>
      </c>
      <c r="AK12" s="536">
        <v>0</v>
      </c>
      <c r="AL12" s="536">
        <v>0</v>
      </c>
      <c r="AM12" s="536">
        <v>0</v>
      </c>
      <c r="AN12" s="537">
        <v>0</v>
      </c>
    </row>
    <row r="13" spans="1:46" ht="17" thickBot="1" x14ac:dyDescent="0.35">
      <c r="A13" s="550">
        <v>44884</v>
      </c>
      <c r="B13" s="551" t="s">
        <v>721</v>
      </c>
      <c r="C13" s="556" t="s">
        <v>38</v>
      </c>
      <c r="D13" s="556" t="s">
        <v>112</v>
      </c>
      <c r="E13" s="530" t="s">
        <v>3</v>
      </c>
      <c r="F13" s="530">
        <v>12</v>
      </c>
      <c r="G13" s="530">
        <v>13</v>
      </c>
      <c r="H13" s="530" t="s">
        <v>106</v>
      </c>
      <c r="I13" s="530" t="s">
        <v>106</v>
      </c>
      <c r="J13" s="530">
        <v>2</v>
      </c>
      <c r="K13" s="530">
        <v>1</v>
      </c>
      <c r="L13" s="530">
        <v>0</v>
      </c>
      <c r="M13" s="530">
        <v>0</v>
      </c>
      <c r="N13" s="530">
        <v>1</v>
      </c>
      <c r="O13" s="530">
        <v>0</v>
      </c>
      <c r="P13" s="530" t="s">
        <v>106</v>
      </c>
      <c r="Q13" s="530" t="s">
        <v>106</v>
      </c>
      <c r="R13" s="530">
        <v>1</v>
      </c>
      <c r="S13" s="439">
        <v>63585</v>
      </c>
      <c r="T13" s="721" t="s">
        <v>828</v>
      </c>
      <c r="U13" s="439" t="s">
        <v>289</v>
      </c>
      <c r="V13" s="439" t="s">
        <v>511</v>
      </c>
      <c r="W13" s="439" t="s">
        <v>314</v>
      </c>
      <c r="X13" s="535" t="s">
        <v>829</v>
      </c>
      <c r="Y13" s="536">
        <v>1</v>
      </c>
      <c r="Z13" s="536">
        <v>0</v>
      </c>
      <c r="AA13" s="536">
        <v>0</v>
      </c>
      <c r="AB13" s="537">
        <v>1</v>
      </c>
      <c r="AC13" s="536">
        <v>1</v>
      </c>
      <c r="AD13" s="536">
        <v>0</v>
      </c>
      <c r="AE13" s="536">
        <v>0</v>
      </c>
      <c r="AF13" s="537">
        <v>1</v>
      </c>
      <c r="AG13" s="536">
        <v>0</v>
      </c>
      <c r="AH13" s="536">
        <v>0</v>
      </c>
      <c r="AI13" s="536">
        <v>0</v>
      </c>
      <c r="AJ13" s="537">
        <v>0</v>
      </c>
      <c r="AK13" s="536">
        <v>0</v>
      </c>
      <c r="AL13" s="536">
        <v>0</v>
      </c>
      <c r="AM13" s="536">
        <v>0</v>
      </c>
      <c r="AN13" s="537">
        <v>0</v>
      </c>
    </row>
    <row r="14" spans="1:46" ht="17" thickBot="1" x14ac:dyDescent="0.35">
      <c r="A14" s="550">
        <v>44891</v>
      </c>
      <c r="B14" s="551" t="s">
        <v>754</v>
      </c>
      <c r="C14" s="556" t="s">
        <v>29</v>
      </c>
      <c r="D14" s="556" t="s">
        <v>112</v>
      </c>
      <c r="E14" s="530" t="s">
        <v>3</v>
      </c>
      <c r="F14" s="530">
        <v>34</v>
      </c>
      <c r="G14" s="530">
        <v>39</v>
      </c>
      <c r="H14" s="530" t="s">
        <v>106</v>
      </c>
      <c r="I14" s="530" t="s">
        <v>106</v>
      </c>
      <c r="J14" s="530">
        <v>4</v>
      </c>
      <c r="K14" s="530">
        <v>4</v>
      </c>
      <c r="L14" s="530">
        <v>0</v>
      </c>
      <c r="M14" s="530">
        <v>2</v>
      </c>
      <c r="N14" s="530">
        <v>2</v>
      </c>
      <c r="O14" s="530">
        <v>0</v>
      </c>
      <c r="P14" s="530" t="s">
        <v>106</v>
      </c>
      <c r="Q14" s="530" t="s">
        <v>106</v>
      </c>
      <c r="R14" s="530">
        <v>5</v>
      </c>
      <c r="S14" s="439">
        <v>67401</v>
      </c>
      <c r="T14" s="721" t="s">
        <v>872</v>
      </c>
      <c r="U14" s="439" t="s">
        <v>339</v>
      </c>
      <c r="V14" s="439" t="s">
        <v>324</v>
      </c>
      <c r="W14" s="439" t="s">
        <v>305</v>
      </c>
      <c r="X14" s="535" t="s">
        <v>518</v>
      </c>
      <c r="Y14" s="536">
        <v>1</v>
      </c>
      <c r="Z14" s="536">
        <v>0</v>
      </c>
      <c r="AA14" s="536">
        <v>0</v>
      </c>
      <c r="AB14" s="537">
        <v>1</v>
      </c>
      <c r="AC14" s="536">
        <v>1</v>
      </c>
      <c r="AD14" s="536">
        <v>0</v>
      </c>
      <c r="AE14" s="536">
        <v>0</v>
      </c>
      <c r="AF14" s="537">
        <v>1</v>
      </c>
      <c r="AG14" s="536">
        <v>0</v>
      </c>
      <c r="AH14" s="536">
        <v>0</v>
      </c>
      <c r="AI14" s="536">
        <v>0</v>
      </c>
      <c r="AJ14" s="537">
        <v>0</v>
      </c>
      <c r="AK14" s="536">
        <v>0</v>
      </c>
      <c r="AL14" s="536">
        <v>0</v>
      </c>
      <c r="AM14" s="536">
        <v>0</v>
      </c>
      <c r="AN14" s="537">
        <v>0</v>
      </c>
    </row>
    <row r="15" spans="1:46" ht="14.95" thickBot="1" x14ac:dyDescent="0.3">
      <c r="A15" s="310"/>
      <c r="B15" s="311"/>
      <c r="C15" s="806" t="s">
        <v>108</v>
      </c>
      <c r="D15" s="807"/>
      <c r="E15" s="808"/>
      <c r="F15" s="309">
        <f>SUM(F3:F7)</f>
        <v>76</v>
      </c>
      <c r="G15" s="309">
        <f t="shared" ref="G15:R15" si="0">SUM(G3:G7)</f>
        <v>104</v>
      </c>
      <c r="H15" s="309">
        <f t="shared" si="0"/>
        <v>0</v>
      </c>
      <c r="I15" s="309">
        <f t="shared" si="0"/>
        <v>3</v>
      </c>
      <c r="J15" s="309">
        <f t="shared" si="0"/>
        <v>8</v>
      </c>
      <c r="K15" s="309">
        <f t="shared" si="0"/>
        <v>6</v>
      </c>
      <c r="L15" s="309">
        <f t="shared" si="0"/>
        <v>1</v>
      </c>
      <c r="M15" s="309">
        <f t="shared" si="0"/>
        <v>7</v>
      </c>
      <c r="N15" s="309">
        <f t="shared" si="0"/>
        <v>2</v>
      </c>
      <c r="O15" s="309">
        <f t="shared" si="0"/>
        <v>0</v>
      </c>
      <c r="P15" s="309">
        <f t="shared" si="0"/>
        <v>1</v>
      </c>
      <c r="Q15" s="309">
        <f t="shared" si="0"/>
        <v>1</v>
      </c>
      <c r="R15" s="309">
        <f t="shared" si="0"/>
        <v>8</v>
      </c>
      <c r="W15" s="306"/>
      <c r="X15" s="452" t="s">
        <v>108</v>
      </c>
      <c r="Y15" s="309">
        <f t="shared" ref="Y15:AN15" si="1">SUM(Y3:Y7)</f>
        <v>5</v>
      </c>
      <c r="Z15" s="309">
        <f t="shared" si="1"/>
        <v>1</v>
      </c>
      <c r="AA15" s="309">
        <f t="shared" si="1"/>
        <v>0</v>
      </c>
      <c r="AB15" s="309">
        <f t="shared" si="1"/>
        <v>4</v>
      </c>
      <c r="AC15" s="307">
        <f t="shared" si="1"/>
        <v>3</v>
      </c>
      <c r="AD15" s="307">
        <f t="shared" si="1"/>
        <v>1</v>
      </c>
      <c r="AE15" s="307">
        <f t="shared" si="1"/>
        <v>0</v>
      </c>
      <c r="AF15" s="307">
        <f t="shared" si="1"/>
        <v>2</v>
      </c>
      <c r="AG15" s="308">
        <f t="shared" si="1"/>
        <v>2</v>
      </c>
      <c r="AH15" s="308">
        <f t="shared" si="1"/>
        <v>0</v>
      </c>
      <c r="AI15" s="308">
        <f t="shared" si="1"/>
        <v>0</v>
      </c>
      <c r="AJ15" s="308">
        <f t="shared" si="1"/>
        <v>2</v>
      </c>
      <c r="AK15" s="309">
        <f t="shared" si="1"/>
        <v>0</v>
      </c>
      <c r="AL15" s="309">
        <f t="shared" si="1"/>
        <v>0</v>
      </c>
      <c r="AM15" s="309">
        <f t="shared" si="1"/>
        <v>0</v>
      </c>
      <c r="AN15" s="309">
        <f t="shared" si="1"/>
        <v>0</v>
      </c>
    </row>
    <row r="16" spans="1:46" ht="14.95" thickBot="1" x14ac:dyDescent="0.3">
      <c r="A16" s="310"/>
      <c r="B16" s="311"/>
      <c r="C16" s="985" t="s">
        <v>173</v>
      </c>
      <c r="D16" s="986"/>
      <c r="E16" s="987"/>
      <c r="F16" s="318">
        <f>SUM(F8:F14)</f>
        <v>145</v>
      </c>
      <c r="G16" s="318">
        <f>SUM(G8:G14)</f>
        <v>194</v>
      </c>
      <c r="H16" s="318" t="s">
        <v>106</v>
      </c>
      <c r="I16" s="318" t="s">
        <v>106</v>
      </c>
      <c r="J16" s="318">
        <f t="shared" ref="J16:O16" si="2">SUM(J8:J14)</f>
        <v>15</v>
      </c>
      <c r="K16" s="318">
        <f t="shared" si="2"/>
        <v>11</v>
      </c>
      <c r="L16" s="318">
        <f t="shared" si="2"/>
        <v>1</v>
      </c>
      <c r="M16" s="318">
        <f t="shared" si="2"/>
        <v>15</v>
      </c>
      <c r="N16" s="318">
        <f t="shared" si="2"/>
        <v>9</v>
      </c>
      <c r="O16" s="318">
        <f t="shared" si="2"/>
        <v>0</v>
      </c>
      <c r="P16" s="318" t="s">
        <v>106</v>
      </c>
      <c r="Q16" s="318" t="s">
        <v>106</v>
      </c>
      <c r="R16" s="318">
        <f>SUM(R8:R14)</f>
        <v>20</v>
      </c>
      <c r="S16" s="314"/>
      <c r="T16" s="314"/>
      <c r="U16" s="314"/>
      <c r="V16" s="314"/>
      <c r="W16" s="315"/>
      <c r="X16" s="450" t="s">
        <v>173</v>
      </c>
      <c r="Y16" s="318">
        <f t="shared" ref="Y16:AN16" si="3">SUM(Y8:Y14)</f>
        <v>7</v>
      </c>
      <c r="Z16" s="318">
        <f t="shared" si="3"/>
        <v>2</v>
      </c>
      <c r="AA16" s="318">
        <f t="shared" si="3"/>
        <v>0</v>
      </c>
      <c r="AB16" s="318">
        <f t="shared" si="3"/>
        <v>4</v>
      </c>
      <c r="AC16" s="316">
        <f t="shared" si="3"/>
        <v>5</v>
      </c>
      <c r="AD16" s="316">
        <f t="shared" si="3"/>
        <v>1</v>
      </c>
      <c r="AE16" s="316">
        <f t="shared" si="3"/>
        <v>0</v>
      </c>
      <c r="AF16" s="316">
        <f t="shared" si="3"/>
        <v>3</v>
      </c>
      <c r="AG16" s="317">
        <f t="shared" si="3"/>
        <v>3</v>
      </c>
      <c r="AH16" s="317">
        <f t="shared" si="3"/>
        <v>1</v>
      </c>
      <c r="AI16" s="317">
        <f t="shared" si="3"/>
        <v>0</v>
      </c>
      <c r="AJ16" s="317">
        <f t="shared" si="3"/>
        <v>2</v>
      </c>
      <c r="AK16" s="318">
        <f t="shared" si="3"/>
        <v>0</v>
      </c>
      <c r="AL16" s="318">
        <f t="shared" si="3"/>
        <v>0</v>
      </c>
      <c r="AM16" s="318">
        <f t="shared" si="3"/>
        <v>0</v>
      </c>
      <c r="AN16" s="318">
        <f t="shared" si="3"/>
        <v>0</v>
      </c>
    </row>
    <row r="17" spans="1:40" ht="14.95" thickBot="1" x14ac:dyDescent="0.3">
      <c r="A17" s="310"/>
      <c r="B17" s="311"/>
      <c r="C17" s="760" t="s">
        <v>107</v>
      </c>
      <c r="D17" s="761"/>
      <c r="E17" s="762"/>
      <c r="F17" s="422">
        <f>SUM(F3:F14)</f>
        <v>221</v>
      </c>
      <c r="G17" s="422">
        <f t="shared" ref="G17:R17" si="4">SUM(G3:G14)</f>
        <v>298</v>
      </c>
      <c r="H17" s="422">
        <f t="shared" si="4"/>
        <v>0</v>
      </c>
      <c r="I17" s="422">
        <f t="shared" si="4"/>
        <v>3</v>
      </c>
      <c r="J17" s="422">
        <f t="shared" si="4"/>
        <v>23</v>
      </c>
      <c r="K17" s="422">
        <f t="shared" si="4"/>
        <v>17</v>
      </c>
      <c r="L17" s="422">
        <f t="shared" si="4"/>
        <v>2</v>
      </c>
      <c r="M17" s="422">
        <f t="shared" si="4"/>
        <v>22</v>
      </c>
      <c r="N17" s="422">
        <f t="shared" si="4"/>
        <v>11</v>
      </c>
      <c r="O17" s="422">
        <f t="shared" si="4"/>
        <v>0</v>
      </c>
      <c r="P17" s="422">
        <f t="shared" si="4"/>
        <v>1</v>
      </c>
      <c r="Q17" s="422">
        <f t="shared" si="4"/>
        <v>1</v>
      </c>
      <c r="R17" s="422">
        <f t="shared" si="4"/>
        <v>28</v>
      </c>
      <c r="S17" s="419"/>
      <c r="T17" s="419"/>
      <c r="U17" s="419"/>
      <c r="V17" s="419"/>
      <c r="W17" s="13"/>
      <c r="X17" s="447" t="s">
        <v>107</v>
      </c>
      <c r="Y17" s="422">
        <f t="shared" ref="Y17:AN17" si="5">SUM(Y3:Y14)</f>
        <v>12</v>
      </c>
      <c r="Z17" s="422">
        <f t="shared" si="5"/>
        <v>3</v>
      </c>
      <c r="AA17" s="422">
        <f t="shared" si="5"/>
        <v>0</v>
      </c>
      <c r="AB17" s="422">
        <f t="shared" si="5"/>
        <v>8</v>
      </c>
      <c r="AC17" s="420">
        <f t="shared" si="5"/>
        <v>8</v>
      </c>
      <c r="AD17" s="420">
        <f t="shared" si="5"/>
        <v>2</v>
      </c>
      <c r="AE17" s="420">
        <f t="shared" si="5"/>
        <v>0</v>
      </c>
      <c r="AF17" s="420">
        <f t="shared" si="5"/>
        <v>5</v>
      </c>
      <c r="AG17" s="421">
        <f t="shared" si="5"/>
        <v>5</v>
      </c>
      <c r="AH17" s="421">
        <f t="shared" si="5"/>
        <v>1</v>
      </c>
      <c r="AI17" s="421">
        <f t="shared" si="5"/>
        <v>0</v>
      </c>
      <c r="AJ17" s="421">
        <f t="shared" si="5"/>
        <v>4</v>
      </c>
      <c r="AK17" s="422">
        <f t="shared" si="5"/>
        <v>0</v>
      </c>
      <c r="AL17" s="422">
        <f t="shared" si="5"/>
        <v>0</v>
      </c>
      <c r="AM17" s="422">
        <f t="shared" si="5"/>
        <v>0</v>
      </c>
      <c r="AN17" s="422">
        <f t="shared" si="5"/>
        <v>0</v>
      </c>
    </row>
    <row r="18" spans="1:40" x14ac:dyDescent="0.25">
      <c r="A18" s="962" t="s">
        <v>58</v>
      </c>
      <c r="B18" s="984"/>
      <c r="C18" s="984"/>
      <c r="D18" s="984"/>
      <c r="E18" s="984"/>
      <c r="F18" s="984"/>
      <c r="G18" s="984"/>
      <c r="H18" s="984"/>
      <c r="I18" s="984"/>
      <c r="J18" s="984"/>
      <c r="K18" s="984"/>
      <c r="L18" s="984"/>
      <c r="M18" s="984"/>
      <c r="N18" s="984"/>
      <c r="O18" s="984"/>
      <c r="P18" s="984"/>
      <c r="Q18" s="984"/>
      <c r="R18" s="984"/>
      <c r="S18" s="984"/>
      <c r="T18" s="984"/>
      <c r="U18" s="984"/>
      <c r="V18" s="984"/>
      <c r="W18" s="984"/>
      <c r="X18" s="984"/>
      <c r="Y18" s="984"/>
      <c r="Z18" s="984"/>
      <c r="AA18" s="984"/>
      <c r="AB18" s="984"/>
      <c r="AC18" s="984"/>
      <c r="AD18" s="984"/>
      <c r="AE18" s="984"/>
      <c r="AF18" s="984"/>
      <c r="AG18" s="984"/>
      <c r="AH18" s="984"/>
      <c r="AI18" s="984"/>
      <c r="AJ18" s="984"/>
      <c r="AK18" s="984"/>
      <c r="AL18" s="984"/>
      <c r="AM18" s="984"/>
      <c r="AN18" s="984"/>
    </row>
    <row r="19" spans="1:40" x14ac:dyDescent="0.25">
      <c r="A19" s="788" t="s">
        <v>725</v>
      </c>
      <c r="B19" s="743"/>
      <c r="C19" s="743"/>
      <c r="D19" s="743"/>
      <c r="E19" s="743"/>
      <c r="F19" s="743"/>
      <c r="G19" s="743"/>
      <c r="H19" s="743"/>
      <c r="I19" s="743"/>
      <c r="J19" s="743"/>
      <c r="K19" s="743"/>
      <c r="L19" s="743"/>
      <c r="M19" s="743"/>
      <c r="N19" s="743"/>
      <c r="O19" s="743"/>
      <c r="P19" s="743"/>
      <c r="Q19" s="743"/>
      <c r="R19" s="743"/>
      <c r="S19" s="743"/>
      <c r="T19" s="743"/>
      <c r="U19" s="743"/>
      <c r="V19" s="743"/>
      <c r="W19" s="743"/>
      <c r="X19" s="743"/>
      <c r="Y19" s="743"/>
      <c r="Z19" s="743"/>
      <c r="AA19" s="743"/>
      <c r="AB19" s="743"/>
      <c r="AC19" s="743"/>
      <c r="AD19" s="743"/>
      <c r="AE19" s="743"/>
      <c r="AF19" s="743"/>
      <c r="AG19" s="743"/>
      <c r="AH19" s="743"/>
      <c r="AI19" s="743"/>
      <c r="AJ19" s="743"/>
      <c r="AK19" s="743"/>
      <c r="AL19" s="743"/>
      <c r="AM19" s="743"/>
      <c r="AN19" s="743"/>
    </row>
    <row r="20" spans="1:40" x14ac:dyDescent="0.25">
      <c r="A20" s="632" t="s">
        <v>168</v>
      </c>
      <c r="F20" s="14"/>
      <c r="G20" s="14"/>
      <c r="H20" s="13"/>
      <c r="I20" s="14"/>
      <c r="J20" s="14"/>
      <c r="K20" s="14"/>
      <c r="L20" s="14"/>
      <c r="M20" s="14"/>
      <c r="N20" s="14"/>
      <c r="O20" s="14"/>
      <c r="P20" s="14"/>
      <c r="Q20" s="14"/>
      <c r="R20" s="14"/>
    </row>
    <row r="21" spans="1:40" x14ac:dyDescent="0.25">
      <c r="A21" s="632" t="s">
        <v>520</v>
      </c>
      <c r="F21" s="14"/>
    </row>
    <row r="22" spans="1:40" x14ac:dyDescent="0.25">
      <c r="A22" s="632" t="s">
        <v>626</v>
      </c>
    </row>
    <row r="23" spans="1:40" x14ac:dyDescent="0.25">
      <c r="A23" s="632" t="s">
        <v>755</v>
      </c>
    </row>
    <row r="24" spans="1:40" x14ac:dyDescent="0.25">
      <c r="A24" s="155"/>
      <c r="B24" t="s">
        <v>44</v>
      </c>
    </row>
    <row r="25" spans="1:40" x14ac:dyDescent="0.25">
      <c r="A25" s="153"/>
      <c r="B25" t="s">
        <v>42</v>
      </c>
    </row>
    <row r="26" spans="1:40" x14ac:dyDescent="0.25">
      <c r="A26" s="154"/>
      <c r="B26" t="s">
        <v>43</v>
      </c>
    </row>
    <row r="27" spans="1:40" x14ac:dyDescent="0.25">
      <c r="A27" s="15" t="s">
        <v>28</v>
      </c>
    </row>
  </sheetData>
  <mergeCells count="15">
    <mergeCell ref="A19:AN19"/>
    <mergeCell ref="A18:AN18"/>
    <mergeCell ref="Y1:AB1"/>
    <mergeCell ref="AC1:AF1"/>
    <mergeCell ref="AG1:AJ1"/>
    <mergeCell ref="AK1:AN1"/>
    <mergeCell ref="C15:E15"/>
    <mergeCell ref="C16:E16"/>
    <mergeCell ref="C17:E17"/>
    <mergeCell ref="P1:R1"/>
    <mergeCell ref="A1:C1"/>
    <mergeCell ref="E1:G1"/>
    <mergeCell ref="H1:I1"/>
    <mergeCell ref="J1:M1"/>
    <mergeCell ref="N1:O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5"/>
  <sheetViews>
    <sheetView workbookViewId="0">
      <selection activeCell="N12" sqref="N12"/>
    </sheetView>
  </sheetViews>
  <sheetFormatPr defaultRowHeight="14.3" x14ac:dyDescent="0.25"/>
  <cols>
    <col min="1" max="2" width="4.625" customWidth="1"/>
    <col min="4" max="7" width="4.625" customWidth="1"/>
    <col min="8" max="10" width="6.625" customWidth="1"/>
    <col min="11" max="16" width="4.625" customWidth="1"/>
  </cols>
  <sheetData>
    <row r="1" spans="1:17" ht="14.95" thickBot="1" x14ac:dyDescent="0.3">
      <c r="A1" s="283" t="s">
        <v>47</v>
      </c>
      <c r="B1" s="284" t="s">
        <v>48</v>
      </c>
      <c r="C1" s="179"/>
      <c r="D1" s="179" t="s">
        <v>0</v>
      </c>
      <c r="E1" s="180" t="s">
        <v>1</v>
      </c>
      <c r="F1" s="179" t="s">
        <v>2</v>
      </c>
      <c r="G1" s="179" t="s">
        <v>3</v>
      </c>
      <c r="H1" s="179" t="s">
        <v>4</v>
      </c>
      <c r="I1" s="179" t="s">
        <v>5</v>
      </c>
      <c r="J1" s="180" t="s">
        <v>49</v>
      </c>
      <c r="K1" s="179" t="s">
        <v>21</v>
      </c>
      <c r="L1" s="179" t="s">
        <v>22</v>
      </c>
      <c r="M1" s="179" t="s">
        <v>64</v>
      </c>
      <c r="N1" s="179" t="s">
        <v>52</v>
      </c>
      <c r="O1" s="179" t="s">
        <v>53</v>
      </c>
      <c r="P1" s="180" t="s">
        <v>50</v>
      </c>
    </row>
    <row r="2" spans="1:17" ht="14.95" thickBot="1" x14ac:dyDescent="0.3">
      <c r="A2" s="285">
        <v>1</v>
      </c>
      <c r="B2" s="496" t="s">
        <v>51</v>
      </c>
      <c r="C2" s="280" t="s">
        <v>34</v>
      </c>
      <c r="D2" s="184">
        <f>Franceplayed</f>
        <v>5</v>
      </c>
      <c r="E2" s="183">
        <f>Francewon</f>
        <v>5</v>
      </c>
      <c r="F2" s="184">
        <f>Francedrawn</f>
        <v>0</v>
      </c>
      <c r="G2" s="184">
        <f>Francelost</f>
        <v>0</v>
      </c>
      <c r="H2" s="184">
        <f>Franceptsscored</f>
        <v>141</v>
      </c>
      <c r="I2" s="184">
        <f>Franceptsagainst</f>
        <v>73</v>
      </c>
      <c r="J2" s="183">
        <f t="shared" ref="J2:J7" si="0">SUM(H2-I2)</f>
        <v>68</v>
      </c>
      <c r="K2" s="184">
        <f>Francetrybonus</f>
        <v>2</v>
      </c>
      <c r="L2" s="184">
        <f>Francelosingbonus</f>
        <v>0</v>
      </c>
      <c r="M2" s="184">
        <v>3</v>
      </c>
      <c r="N2" s="184">
        <f>Francetriesscored</f>
        <v>17</v>
      </c>
      <c r="O2" s="184">
        <f>Francetriesagainst</f>
        <v>7</v>
      </c>
      <c r="P2" s="183">
        <f t="shared" ref="P2:P7" si="1">SUM(E2*4)+(F2*2)+K2+L2+M2</f>
        <v>25</v>
      </c>
    </row>
    <row r="3" spans="1:17" ht="14.95" thickBot="1" x14ac:dyDescent="0.3">
      <c r="A3" s="285">
        <v>2</v>
      </c>
      <c r="B3" s="345" t="s">
        <v>51</v>
      </c>
      <c r="C3" s="190" t="s">
        <v>39</v>
      </c>
      <c r="D3" s="184">
        <f>Irelandplayed</f>
        <v>5</v>
      </c>
      <c r="E3" s="183">
        <f>Irelandwon</f>
        <v>4</v>
      </c>
      <c r="F3" s="184">
        <f>Irelanddrawn</f>
        <v>0</v>
      </c>
      <c r="G3" s="184">
        <f>Irelandlost</f>
        <v>1</v>
      </c>
      <c r="H3" s="184">
        <f>Irelandptsscored</f>
        <v>168</v>
      </c>
      <c r="I3" s="184">
        <f>Irelandptsagainst</f>
        <v>63</v>
      </c>
      <c r="J3" s="183">
        <f t="shared" si="0"/>
        <v>105</v>
      </c>
      <c r="K3" s="184">
        <f>Irelandtrybonus</f>
        <v>4</v>
      </c>
      <c r="L3" s="184">
        <f>Irelandlosingbonus</f>
        <v>1</v>
      </c>
      <c r="M3" s="184">
        <v>0</v>
      </c>
      <c r="N3" s="184">
        <f>Irelandtriesscored</f>
        <v>24</v>
      </c>
      <c r="O3" s="184">
        <f>Irelandtriesagainst</f>
        <v>4</v>
      </c>
      <c r="P3" s="183">
        <f t="shared" si="1"/>
        <v>21</v>
      </c>
    </row>
    <row r="4" spans="1:17" ht="14.95" thickBot="1" x14ac:dyDescent="0.3">
      <c r="A4" s="456">
        <v>3</v>
      </c>
      <c r="B4" s="345" t="s">
        <v>51</v>
      </c>
      <c r="C4" s="281" t="s">
        <v>30</v>
      </c>
      <c r="D4" s="181">
        <f>Englandplayed</f>
        <v>5</v>
      </c>
      <c r="E4" s="182">
        <f>Englandwon</f>
        <v>2</v>
      </c>
      <c r="F4" s="181">
        <f>Englanddrawn</f>
        <v>0</v>
      </c>
      <c r="G4" s="181">
        <f>Englandlost</f>
        <v>3</v>
      </c>
      <c r="H4" s="181">
        <f>Englandptsscored</f>
        <v>101</v>
      </c>
      <c r="I4" s="181">
        <f>Englandptsagainst</f>
        <v>96</v>
      </c>
      <c r="J4" s="183">
        <f t="shared" si="0"/>
        <v>5</v>
      </c>
      <c r="K4" s="184">
        <f>Englandtrybonus</f>
        <v>1</v>
      </c>
      <c r="L4" s="184">
        <f>Englandlosingbonus</f>
        <v>1</v>
      </c>
      <c r="M4" s="184">
        <v>0</v>
      </c>
      <c r="N4" s="181">
        <f>Englandtriesscored</f>
        <v>8</v>
      </c>
      <c r="O4" s="181">
        <f>Englandtriesagainst</f>
        <v>12</v>
      </c>
      <c r="P4" s="183">
        <f t="shared" si="1"/>
        <v>10</v>
      </c>
    </row>
    <row r="5" spans="1:17" ht="14.95" thickBot="1" x14ac:dyDescent="0.3">
      <c r="A5" s="285">
        <v>4</v>
      </c>
      <c r="B5" s="345" t="s">
        <v>51</v>
      </c>
      <c r="C5" s="189" t="s">
        <v>35</v>
      </c>
      <c r="D5" s="184">
        <f>Scotlandplayed</f>
        <v>5</v>
      </c>
      <c r="E5" s="183">
        <f>Scotlandwon</f>
        <v>2</v>
      </c>
      <c r="F5" s="184">
        <f>Scotlanddrawn</f>
        <v>0</v>
      </c>
      <c r="G5" s="184">
        <f>Scotlandlost</f>
        <v>3</v>
      </c>
      <c r="H5" s="184">
        <f>Scotlandptsscored</f>
        <v>92</v>
      </c>
      <c r="I5" s="184">
        <f>Scotlandptsagainst</f>
        <v>121</v>
      </c>
      <c r="J5" s="183">
        <f t="shared" si="0"/>
        <v>-29</v>
      </c>
      <c r="K5" s="184">
        <f>Scotlandtrybonus</f>
        <v>1</v>
      </c>
      <c r="L5" s="184">
        <f>Scotlandlosingbonus</f>
        <v>1</v>
      </c>
      <c r="M5" s="184">
        <v>0</v>
      </c>
      <c r="N5" s="184">
        <f>Scotlandtriesscored</f>
        <v>11</v>
      </c>
      <c r="O5" s="184">
        <f>Scotlandtriesagainst</f>
        <v>15</v>
      </c>
      <c r="P5" s="183">
        <f t="shared" si="1"/>
        <v>10</v>
      </c>
    </row>
    <row r="6" spans="1:17" ht="14.95" thickBot="1" x14ac:dyDescent="0.3">
      <c r="A6" s="285">
        <v>5</v>
      </c>
      <c r="B6" s="345" t="s">
        <v>51</v>
      </c>
      <c r="C6" s="188" t="s">
        <v>32</v>
      </c>
      <c r="D6" s="184">
        <f>Walesplayed</f>
        <v>5</v>
      </c>
      <c r="E6" s="183">
        <f>Waleswon</f>
        <v>1</v>
      </c>
      <c r="F6" s="184">
        <f>Walesdrawn</f>
        <v>0</v>
      </c>
      <c r="G6" s="184">
        <f>Waleslost</f>
        <v>4</v>
      </c>
      <c r="H6" s="184">
        <f>Walesptsscored</f>
        <v>76</v>
      </c>
      <c r="I6" s="184">
        <f>Walesptsagainst</f>
        <v>104</v>
      </c>
      <c r="J6" s="183">
        <f t="shared" si="0"/>
        <v>-28</v>
      </c>
      <c r="K6" s="184">
        <f>Walestrybonus</f>
        <v>0</v>
      </c>
      <c r="L6" s="184">
        <f>Waleslosingbonus</f>
        <v>3</v>
      </c>
      <c r="M6" s="184">
        <v>0</v>
      </c>
      <c r="N6" s="184">
        <f>Walestriesscored</f>
        <v>8</v>
      </c>
      <c r="O6" s="184">
        <f>Walestriesagainst</f>
        <v>8</v>
      </c>
      <c r="P6" s="183">
        <f t="shared" si="1"/>
        <v>7</v>
      </c>
    </row>
    <row r="7" spans="1:17" ht="14.95" thickBot="1" x14ac:dyDescent="0.3">
      <c r="A7" s="285">
        <v>6</v>
      </c>
      <c r="B7" s="345" t="s">
        <v>51</v>
      </c>
      <c r="C7" s="278" t="s">
        <v>33</v>
      </c>
      <c r="D7" s="184">
        <f>Italyplayed</f>
        <v>5</v>
      </c>
      <c r="E7" s="183">
        <f>Italywon</f>
        <v>1</v>
      </c>
      <c r="F7" s="184">
        <f>Italydrawn</f>
        <v>0</v>
      </c>
      <c r="G7" s="184">
        <f>Italylost</f>
        <v>4</v>
      </c>
      <c r="H7" s="184">
        <f>Italyptsscored</f>
        <v>60</v>
      </c>
      <c r="I7" s="184">
        <f>Italyptsagainst</f>
        <v>181</v>
      </c>
      <c r="J7" s="183">
        <f t="shared" si="0"/>
        <v>-121</v>
      </c>
      <c r="K7" s="184">
        <f>Italytrybonus</f>
        <v>0</v>
      </c>
      <c r="L7" s="184">
        <f>Italylosingbonus</f>
        <v>0</v>
      </c>
      <c r="M7" s="184">
        <v>0</v>
      </c>
      <c r="N7" s="184">
        <f>Italytriesscored</f>
        <v>5</v>
      </c>
      <c r="O7" s="184">
        <f>Italytriesagainst</f>
        <v>27</v>
      </c>
      <c r="P7" s="183">
        <f t="shared" si="1"/>
        <v>4</v>
      </c>
    </row>
    <row r="8" spans="1:17" x14ac:dyDescent="0.25">
      <c r="A8" s="185"/>
      <c r="B8" s="186"/>
      <c r="C8" s="191"/>
      <c r="D8" s="187"/>
      <c r="E8" s="187"/>
      <c r="F8" s="187"/>
      <c r="G8" s="187"/>
      <c r="H8" s="187">
        <f>SUM(H2:H7)</f>
        <v>638</v>
      </c>
      <c r="I8" s="187">
        <f>SUM(I2:I7)</f>
        <v>638</v>
      </c>
      <c r="J8" s="187"/>
      <c r="K8" s="187"/>
      <c r="L8" s="187"/>
      <c r="M8" s="187"/>
      <c r="N8" s="187">
        <f t="shared" ref="N8:O8" si="2">SUM(N2:N7)</f>
        <v>73</v>
      </c>
      <c r="O8" s="187">
        <f t="shared" si="2"/>
        <v>73</v>
      </c>
      <c r="P8" s="187"/>
      <c r="Q8" s="187" t="s">
        <v>58</v>
      </c>
    </row>
    <row r="9" spans="1:17" x14ac:dyDescent="0.25">
      <c r="A9" t="s">
        <v>65</v>
      </c>
    </row>
    <row r="10" spans="1:17" ht="15.8" customHeight="1" x14ac:dyDescent="0.25">
      <c r="A10" s="204" t="s">
        <v>180</v>
      </c>
    </row>
    <row r="11" spans="1:17" ht="15.8" customHeight="1" x14ac:dyDescent="0.25">
      <c r="A11" t="s">
        <v>181</v>
      </c>
    </row>
    <row r="12" spans="1:17" ht="15.8" customHeight="1" x14ac:dyDescent="0.25">
      <c r="A12" t="s">
        <v>131</v>
      </c>
    </row>
    <row r="13" spans="1:17" ht="15.8" customHeight="1" x14ac:dyDescent="0.25">
      <c r="A13" t="s">
        <v>182</v>
      </c>
    </row>
    <row r="14" spans="1:17" ht="15.8" customHeight="1" x14ac:dyDescent="0.25"/>
    <row r="15" spans="1:17" ht="15.8" customHeight="1" x14ac:dyDescent="0.25">
      <c r="A15" s="204" t="s">
        <v>372</v>
      </c>
    </row>
    <row r="16" spans="1:17" ht="15.8" customHeight="1" thickBot="1" x14ac:dyDescent="0.3"/>
    <row r="17" spans="1:16" ht="15.8" customHeight="1" thickBot="1" x14ac:dyDescent="0.3">
      <c r="A17" s="283" t="s">
        <v>47</v>
      </c>
      <c r="B17" s="284" t="s">
        <v>48</v>
      </c>
      <c r="C17" s="284"/>
      <c r="D17" s="284" t="s">
        <v>0</v>
      </c>
      <c r="E17" s="661" t="s">
        <v>1</v>
      </c>
      <c r="F17" s="284" t="s">
        <v>2</v>
      </c>
      <c r="G17" s="284" t="s">
        <v>3</v>
      </c>
      <c r="H17" s="284" t="s">
        <v>4</v>
      </c>
      <c r="I17" s="284" t="s">
        <v>5</v>
      </c>
      <c r="J17" s="661" t="s">
        <v>49</v>
      </c>
      <c r="K17" s="284" t="s">
        <v>21</v>
      </c>
      <c r="L17" s="284" t="s">
        <v>22</v>
      </c>
      <c r="M17" s="284" t="s">
        <v>64</v>
      </c>
      <c r="N17" s="284" t="s">
        <v>52</v>
      </c>
      <c r="O17" s="284" t="s">
        <v>53</v>
      </c>
      <c r="P17" s="661" t="s">
        <v>50</v>
      </c>
    </row>
    <row r="18" spans="1:16" ht="15.8" customHeight="1" thickBot="1" x14ac:dyDescent="0.3">
      <c r="A18" s="662">
        <v>1</v>
      </c>
      <c r="B18" s="345" t="s">
        <v>51</v>
      </c>
      <c r="C18" s="280" t="s">
        <v>34</v>
      </c>
      <c r="D18" s="663">
        <v>4</v>
      </c>
      <c r="E18" s="664">
        <v>4</v>
      </c>
      <c r="F18" s="663">
        <v>0</v>
      </c>
      <c r="G18" s="663">
        <v>0</v>
      </c>
      <c r="H18" s="663">
        <v>116</v>
      </c>
      <c r="I18" s="663">
        <v>60</v>
      </c>
      <c r="J18" s="664">
        <v>56</v>
      </c>
      <c r="K18" s="663">
        <v>2</v>
      </c>
      <c r="L18" s="663">
        <v>0</v>
      </c>
      <c r="M18" s="663">
        <v>0</v>
      </c>
      <c r="N18" s="663">
        <v>14</v>
      </c>
      <c r="O18" s="663">
        <v>6</v>
      </c>
      <c r="P18" s="664">
        <v>18</v>
      </c>
    </row>
    <row r="19" spans="1:16" ht="15.8" customHeight="1" thickBot="1" x14ac:dyDescent="0.3">
      <c r="A19" s="662">
        <v>2</v>
      </c>
      <c r="B19" s="345" t="s">
        <v>51</v>
      </c>
      <c r="C19" s="665" t="s">
        <v>39</v>
      </c>
      <c r="D19" s="663">
        <v>4</v>
      </c>
      <c r="E19" s="664">
        <v>3</v>
      </c>
      <c r="F19" s="663">
        <v>0</v>
      </c>
      <c r="G19" s="663">
        <v>1</v>
      </c>
      <c r="H19" s="663">
        <v>142</v>
      </c>
      <c r="I19" s="663">
        <v>58</v>
      </c>
      <c r="J19" s="664">
        <v>84</v>
      </c>
      <c r="K19" s="663">
        <v>3</v>
      </c>
      <c r="L19" s="663">
        <v>1</v>
      </c>
      <c r="M19" s="663">
        <v>0</v>
      </c>
      <c r="N19" s="663">
        <v>20</v>
      </c>
      <c r="O19" s="663">
        <v>3</v>
      </c>
      <c r="P19" s="664">
        <v>16</v>
      </c>
    </row>
    <row r="20" spans="1:16" ht="15.8" customHeight="1" thickBot="1" x14ac:dyDescent="0.3">
      <c r="A20" s="662">
        <v>3</v>
      </c>
      <c r="B20" s="345" t="s">
        <v>51</v>
      </c>
      <c r="C20" s="667" t="s">
        <v>30</v>
      </c>
      <c r="D20" s="663">
        <v>4</v>
      </c>
      <c r="E20" s="664">
        <v>2</v>
      </c>
      <c r="F20" s="663">
        <v>0</v>
      </c>
      <c r="G20" s="663">
        <v>2</v>
      </c>
      <c r="H20" s="663">
        <v>88</v>
      </c>
      <c r="I20" s="663">
        <v>71</v>
      </c>
      <c r="J20" s="664">
        <v>17</v>
      </c>
      <c r="K20" s="663">
        <v>1</v>
      </c>
      <c r="L20" s="663">
        <v>1</v>
      </c>
      <c r="M20" s="663">
        <v>0</v>
      </c>
      <c r="N20" s="663">
        <v>7</v>
      </c>
      <c r="O20" s="663">
        <v>9</v>
      </c>
      <c r="P20" s="664">
        <v>10</v>
      </c>
    </row>
    <row r="21" spans="1:16" ht="15.8" customHeight="1" thickBot="1" x14ac:dyDescent="0.3">
      <c r="A21" s="662">
        <v>4</v>
      </c>
      <c r="B21" s="345" t="s">
        <v>51</v>
      </c>
      <c r="C21" s="666" t="s">
        <v>35</v>
      </c>
      <c r="D21" s="663">
        <v>4</v>
      </c>
      <c r="E21" s="664">
        <v>2</v>
      </c>
      <c r="F21" s="663">
        <v>0</v>
      </c>
      <c r="G21" s="663">
        <v>2</v>
      </c>
      <c r="H21" s="663">
        <v>87</v>
      </c>
      <c r="I21" s="663">
        <v>95</v>
      </c>
      <c r="J21" s="664">
        <v>-8</v>
      </c>
      <c r="K21" s="663">
        <v>1</v>
      </c>
      <c r="L21" s="663">
        <v>1</v>
      </c>
      <c r="M21" s="663">
        <v>0</v>
      </c>
      <c r="N21" s="663">
        <v>10</v>
      </c>
      <c r="O21" s="663">
        <v>11</v>
      </c>
      <c r="P21" s="664">
        <v>10</v>
      </c>
    </row>
    <row r="22" spans="1:16" ht="15.8" customHeight="1" thickBot="1" x14ac:dyDescent="0.3">
      <c r="A22" s="662">
        <v>5</v>
      </c>
      <c r="B22" s="345" t="s">
        <v>51</v>
      </c>
      <c r="C22" s="668" t="s">
        <v>32</v>
      </c>
      <c r="D22" s="663">
        <v>4</v>
      </c>
      <c r="E22" s="664">
        <v>1</v>
      </c>
      <c r="F22" s="663">
        <v>0</v>
      </c>
      <c r="G22" s="663">
        <v>3</v>
      </c>
      <c r="H22" s="663">
        <v>55</v>
      </c>
      <c r="I22" s="663">
        <v>82</v>
      </c>
      <c r="J22" s="664">
        <v>-27</v>
      </c>
      <c r="K22" s="663">
        <v>0</v>
      </c>
      <c r="L22" s="663">
        <v>2</v>
      </c>
      <c r="M22" s="663">
        <v>0</v>
      </c>
      <c r="N22" s="663">
        <v>5</v>
      </c>
      <c r="O22" s="663">
        <v>7</v>
      </c>
      <c r="P22" s="664">
        <v>6</v>
      </c>
    </row>
    <row r="23" spans="1:16" ht="15.8" customHeight="1" thickBot="1" x14ac:dyDescent="0.3">
      <c r="A23" s="662">
        <v>6</v>
      </c>
      <c r="B23" s="345" t="s">
        <v>51</v>
      </c>
      <c r="C23" s="278" t="s">
        <v>33</v>
      </c>
      <c r="D23" s="663">
        <v>4</v>
      </c>
      <c r="E23" s="664">
        <v>0</v>
      </c>
      <c r="F23" s="663">
        <v>0</v>
      </c>
      <c r="G23" s="663">
        <v>4</v>
      </c>
      <c r="H23" s="663">
        <v>38</v>
      </c>
      <c r="I23" s="663">
        <v>160</v>
      </c>
      <c r="J23" s="664">
        <v>-122</v>
      </c>
      <c r="K23" s="663">
        <v>0</v>
      </c>
      <c r="L23" s="663">
        <v>0</v>
      </c>
      <c r="M23" s="663">
        <v>0</v>
      </c>
      <c r="N23" s="663">
        <v>4</v>
      </c>
      <c r="O23" s="663">
        <v>24</v>
      </c>
      <c r="P23" s="664">
        <v>0</v>
      </c>
    </row>
    <row r="24" spans="1:16" ht="15.8" customHeight="1" x14ac:dyDescent="0.25"/>
    <row r="25" spans="1:16" ht="15.8" customHeight="1" x14ac:dyDescent="0.25">
      <c r="A25" s="204" t="s">
        <v>349</v>
      </c>
    </row>
    <row r="26" spans="1:16" ht="15.8" customHeight="1" thickBot="1" x14ac:dyDescent="0.3"/>
    <row r="27" spans="1:16" ht="15.8" customHeight="1" thickBot="1" x14ac:dyDescent="0.3">
      <c r="A27" s="283" t="s">
        <v>47</v>
      </c>
      <c r="B27" s="284" t="s">
        <v>48</v>
      </c>
      <c r="C27" s="284"/>
      <c r="D27" s="284" t="s">
        <v>0</v>
      </c>
      <c r="E27" s="661" t="s">
        <v>1</v>
      </c>
      <c r="F27" s="284" t="s">
        <v>2</v>
      </c>
      <c r="G27" s="284" t="s">
        <v>3</v>
      </c>
      <c r="H27" s="284" t="s">
        <v>4</v>
      </c>
      <c r="I27" s="284" t="s">
        <v>5</v>
      </c>
      <c r="J27" s="661" t="s">
        <v>49</v>
      </c>
      <c r="K27" s="284" t="s">
        <v>21</v>
      </c>
      <c r="L27" s="284" t="s">
        <v>22</v>
      </c>
      <c r="M27" s="284" t="s">
        <v>64</v>
      </c>
      <c r="N27" s="284" t="s">
        <v>52</v>
      </c>
      <c r="O27" s="284" t="s">
        <v>53</v>
      </c>
      <c r="P27" s="661" t="s">
        <v>50</v>
      </c>
    </row>
    <row r="28" spans="1:16" ht="15.8" customHeight="1" thickBot="1" x14ac:dyDescent="0.3">
      <c r="A28" s="662">
        <v>1</v>
      </c>
      <c r="B28" s="345" t="s">
        <v>51</v>
      </c>
      <c r="C28" s="280" t="s">
        <v>34</v>
      </c>
      <c r="D28" s="663">
        <v>3</v>
      </c>
      <c r="E28" s="664">
        <v>3</v>
      </c>
      <c r="F28" s="663">
        <v>0</v>
      </c>
      <c r="G28" s="663">
        <v>0</v>
      </c>
      <c r="H28" s="663">
        <v>103</v>
      </c>
      <c r="I28" s="663">
        <v>51</v>
      </c>
      <c r="J28" s="664">
        <v>52</v>
      </c>
      <c r="K28" s="663">
        <v>2</v>
      </c>
      <c r="L28" s="663">
        <v>0</v>
      </c>
      <c r="M28" s="663">
        <v>0</v>
      </c>
      <c r="N28" s="663">
        <v>13</v>
      </c>
      <c r="O28" s="663">
        <v>6</v>
      </c>
      <c r="P28" s="664">
        <v>14</v>
      </c>
    </row>
    <row r="29" spans="1:16" ht="15.8" customHeight="1" thickBot="1" x14ac:dyDescent="0.3">
      <c r="A29" s="662">
        <v>2</v>
      </c>
      <c r="B29" s="345" t="s">
        <v>317</v>
      </c>
      <c r="C29" s="665" t="s">
        <v>39</v>
      </c>
      <c r="D29" s="663">
        <v>3</v>
      </c>
      <c r="E29" s="664">
        <v>2</v>
      </c>
      <c r="F29" s="663">
        <v>0</v>
      </c>
      <c r="G29" s="663">
        <v>1</v>
      </c>
      <c r="H29" s="663">
        <v>110</v>
      </c>
      <c r="I29" s="663">
        <v>43</v>
      </c>
      <c r="J29" s="664">
        <v>67</v>
      </c>
      <c r="K29" s="663">
        <v>2</v>
      </c>
      <c r="L29" s="663">
        <v>1</v>
      </c>
      <c r="M29" s="663">
        <v>0</v>
      </c>
      <c r="N29" s="663">
        <v>16</v>
      </c>
      <c r="O29" s="663">
        <v>3</v>
      </c>
      <c r="P29" s="664">
        <v>11</v>
      </c>
    </row>
    <row r="30" spans="1:16" ht="15.8" customHeight="1" thickBot="1" x14ac:dyDescent="0.3">
      <c r="A30" s="662">
        <v>3</v>
      </c>
      <c r="B30" s="345" t="s">
        <v>318</v>
      </c>
      <c r="C30" s="667" t="s">
        <v>30</v>
      </c>
      <c r="D30" s="663">
        <v>3</v>
      </c>
      <c r="E30" s="664">
        <v>2</v>
      </c>
      <c r="F30" s="663">
        <v>0</v>
      </c>
      <c r="G30" s="663">
        <v>1</v>
      </c>
      <c r="H30" s="663">
        <v>73</v>
      </c>
      <c r="I30" s="663">
        <v>39</v>
      </c>
      <c r="J30" s="664">
        <v>34</v>
      </c>
      <c r="K30" s="663">
        <v>1</v>
      </c>
      <c r="L30" s="663">
        <v>1</v>
      </c>
      <c r="M30" s="663">
        <v>0</v>
      </c>
      <c r="N30" s="663">
        <v>7</v>
      </c>
      <c r="O30" s="663">
        <v>5</v>
      </c>
      <c r="P30" s="664">
        <v>10</v>
      </c>
    </row>
    <row r="31" spans="1:16" ht="15.8" customHeight="1" thickBot="1" x14ac:dyDescent="0.3">
      <c r="A31" s="662">
        <v>4</v>
      </c>
      <c r="B31" s="345" t="s">
        <v>51</v>
      </c>
      <c r="C31" s="666" t="s">
        <v>35</v>
      </c>
      <c r="D31" s="663">
        <v>3</v>
      </c>
      <c r="E31" s="664">
        <v>1</v>
      </c>
      <c r="F31" s="663">
        <v>0</v>
      </c>
      <c r="G31" s="663">
        <v>2</v>
      </c>
      <c r="H31" s="663">
        <v>54</v>
      </c>
      <c r="I31" s="663">
        <v>73</v>
      </c>
      <c r="J31" s="664">
        <v>-19</v>
      </c>
      <c r="K31" s="663">
        <v>0</v>
      </c>
      <c r="L31" s="663">
        <v>1</v>
      </c>
      <c r="M31" s="663">
        <v>0</v>
      </c>
      <c r="N31" s="663">
        <v>5</v>
      </c>
      <c r="O31" s="663">
        <v>8</v>
      </c>
      <c r="P31" s="664">
        <v>5</v>
      </c>
    </row>
    <row r="32" spans="1:16" ht="15.8" customHeight="1" thickBot="1" x14ac:dyDescent="0.3">
      <c r="A32" s="662">
        <v>5</v>
      </c>
      <c r="B32" s="345" t="s">
        <v>51</v>
      </c>
      <c r="C32" s="668" t="s">
        <v>32</v>
      </c>
      <c r="D32" s="663">
        <v>3</v>
      </c>
      <c r="E32" s="664">
        <v>1</v>
      </c>
      <c r="F32" s="663">
        <v>0</v>
      </c>
      <c r="G32" s="663">
        <v>2</v>
      </c>
      <c r="H32" s="663">
        <v>46</v>
      </c>
      <c r="I32" s="663">
        <v>69</v>
      </c>
      <c r="J32" s="664">
        <v>-23</v>
      </c>
      <c r="K32" s="663">
        <v>0</v>
      </c>
      <c r="L32" s="663">
        <v>1</v>
      </c>
      <c r="M32" s="663">
        <v>0</v>
      </c>
      <c r="N32" s="663">
        <v>5</v>
      </c>
      <c r="O32" s="663">
        <v>6</v>
      </c>
      <c r="P32" s="664">
        <v>5</v>
      </c>
    </row>
    <row r="33" spans="1:16" ht="15.8" customHeight="1" thickBot="1" x14ac:dyDescent="0.3">
      <c r="A33" s="662">
        <v>6</v>
      </c>
      <c r="B33" s="345" t="s">
        <v>51</v>
      </c>
      <c r="C33" s="278" t="s">
        <v>33</v>
      </c>
      <c r="D33" s="663">
        <v>3</v>
      </c>
      <c r="E33" s="664">
        <v>0</v>
      </c>
      <c r="F33" s="663">
        <v>0</v>
      </c>
      <c r="G33" s="663">
        <v>3</v>
      </c>
      <c r="H33" s="663">
        <v>16</v>
      </c>
      <c r="I33" s="663">
        <v>127</v>
      </c>
      <c r="J33" s="664">
        <v>-111</v>
      </c>
      <c r="K33" s="663">
        <v>0</v>
      </c>
      <c r="L33" s="663">
        <v>0</v>
      </c>
      <c r="M33" s="663">
        <v>0</v>
      </c>
      <c r="N33" s="663">
        <v>1</v>
      </c>
      <c r="O33" s="663">
        <v>19</v>
      </c>
      <c r="P33" s="664">
        <v>0</v>
      </c>
    </row>
    <row r="34" spans="1:16" ht="15.8" customHeight="1" x14ac:dyDescent="0.25"/>
    <row r="35" spans="1:16" ht="15.8" customHeight="1" x14ac:dyDescent="0.25">
      <c r="A35" s="204" t="s">
        <v>316</v>
      </c>
    </row>
    <row r="36" spans="1:16" ht="15.8" customHeight="1" thickBot="1" x14ac:dyDescent="0.3"/>
    <row r="37" spans="1:16" ht="15.8" customHeight="1" thickBot="1" x14ac:dyDescent="0.3">
      <c r="A37" s="283" t="s">
        <v>47</v>
      </c>
      <c r="B37" s="284" t="s">
        <v>48</v>
      </c>
      <c r="C37" s="284"/>
      <c r="D37" s="284" t="s">
        <v>0</v>
      </c>
      <c r="E37" s="661" t="s">
        <v>1</v>
      </c>
      <c r="F37" s="284" t="s">
        <v>2</v>
      </c>
      <c r="G37" s="284" t="s">
        <v>3</v>
      </c>
      <c r="H37" s="284" t="s">
        <v>4</v>
      </c>
      <c r="I37" s="284" t="s">
        <v>5</v>
      </c>
      <c r="J37" s="661" t="s">
        <v>49</v>
      </c>
      <c r="K37" s="284" t="s">
        <v>21</v>
      </c>
      <c r="L37" s="284" t="s">
        <v>22</v>
      </c>
      <c r="M37" s="284" t="s">
        <v>64</v>
      </c>
      <c r="N37" s="284" t="s">
        <v>52</v>
      </c>
      <c r="O37" s="284" t="s">
        <v>53</v>
      </c>
      <c r="P37" s="661" t="s">
        <v>50</v>
      </c>
    </row>
    <row r="38" spans="1:16" ht="15.8" customHeight="1" thickBot="1" x14ac:dyDescent="0.3">
      <c r="A38" s="662">
        <v>1</v>
      </c>
      <c r="B38" s="345" t="s">
        <v>51</v>
      </c>
      <c r="C38" s="280" t="s">
        <v>34</v>
      </c>
      <c r="D38" s="663">
        <v>2</v>
      </c>
      <c r="E38" s="664">
        <v>2</v>
      </c>
      <c r="F38" s="663">
        <v>0</v>
      </c>
      <c r="G38" s="663">
        <v>0</v>
      </c>
      <c r="H38" s="663">
        <v>67</v>
      </c>
      <c r="I38" s="663">
        <v>34</v>
      </c>
      <c r="J38" s="664">
        <v>33</v>
      </c>
      <c r="K38" s="663">
        <v>1</v>
      </c>
      <c r="L38" s="663">
        <v>0</v>
      </c>
      <c r="M38" s="663">
        <v>0</v>
      </c>
      <c r="N38" s="663">
        <v>7</v>
      </c>
      <c r="O38" s="663">
        <v>4</v>
      </c>
      <c r="P38" s="664">
        <v>9</v>
      </c>
    </row>
    <row r="39" spans="1:16" ht="15.8" customHeight="1" thickBot="1" x14ac:dyDescent="0.3">
      <c r="A39" s="662">
        <v>2</v>
      </c>
      <c r="B39" s="345" t="s">
        <v>317</v>
      </c>
      <c r="C39" s="667" t="s">
        <v>30</v>
      </c>
      <c r="D39" s="663">
        <v>2</v>
      </c>
      <c r="E39" s="664">
        <v>1</v>
      </c>
      <c r="F39" s="663">
        <v>0</v>
      </c>
      <c r="G39" s="663">
        <v>1</v>
      </c>
      <c r="H39" s="663">
        <v>50</v>
      </c>
      <c r="I39" s="663">
        <v>20</v>
      </c>
      <c r="J39" s="664">
        <v>30</v>
      </c>
      <c r="K39" s="663">
        <v>1</v>
      </c>
      <c r="L39" s="663">
        <v>1</v>
      </c>
      <c r="M39" s="663">
        <v>0</v>
      </c>
      <c r="N39" s="663">
        <v>6</v>
      </c>
      <c r="O39" s="663">
        <v>2</v>
      </c>
      <c r="P39" s="664">
        <v>6</v>
      </c>
    </row>
    <row r="40" spans="1:16" ht="15.8" customHeight="1" thickBot="1" x14ac:dyDescent="0.3">
      <c r="A40" s="662">
        <v>3</v>
      </c>
      <c r="B40" s="345" t="s">
        <v>318</v>
      </c>
      <c r="C40" s="665" t="s">
        <v>39</v>
      </c>
      <c r="D40" s="663">
        <v>2</v>
      </c>
      <c r="E40" s="664">
        <v>1</v>
      </c>
      <c r="F40" s="663">
        <v>0</v>
      </c>
      <c r="G40" s="663">
        <v>1</v>
      </c>
      <c r="H40" s="663">
        <v>53</v>
      </c>
      <c r="I40" s="663">
        <v>37</v>
      </c>
      <c r="J40" s="664">
        <v>16</v>
      </c>
      <c r="K40" s="663">
        <v>1</v>
      </c>
      <c r="L40" s="663">
        <v>1</v>
      </c>
      <c r="M40" s="663">
        <v>0</v>
      </c>
      <c r="N40" s="663">
        <v>7</v>
      </c>
      <c r="O40" s="663">
        <v>3</v>
      </c>
      <c r="P40" s="664">
        <v>6</v>
      </c>
    </row>
    <row r="41" spans="1:16" ht="15.8" customHeight="1" thickBot="1" x14ac:dyDescent="0.3">
      <c r="A41" s="662">
        <v>4</v>
      </c>
      <c r="B41" s="345" t="s">
        <v>318</v>
      </c>
      <c r="C41" s="666" t="s">
        <v>35</v>
      </c>
      <c r="D41" s="663">
        <v>2</v>
      </c>
      <c r="E41" s="664">
        <v>1</v>
      </c>
      <c r="F41" s="663">
        <v>0</v>
      </c>
      <c r="G41" s="663">
        <v>1</v>
      </c>
      <c r="H41" s="663">
        <v>37</v>
      </c>
      <c r="I41" s="663">
        <v>37</v>
      </c>
      <c r="J41" s="664">
        <v>0</v>
      </c>
      <c r="K41" s="663">
        <v>0</v>
      </c>
      <c r="L41" s="663">
        <v>1</v>
      </c>
      <c r="M41" s="663">
        <v>0</v>
      </c>
      <c r="N41" s="663">
        <v>3</v>
      </c>
      <c r="O41" s="663">
        <v>2</v>
      </c>
      <c r="P41" s="664">
        <v>5</v>
      </c>
    </row>
    <row r="42" spans="1:16" ht="15.8" customHeight="1" thickBot="1" x14ac:dyDescent="0.3">
      <c r="A42" s="662">
        <v>5</v>
      </c>
      <c r="B42" s="345" t="s">
        <v>51</v>
      </c>
      <c r="C42" s="668" t="s">
        <v>32</v>
      </c>
      <c r="D42" s="663">
        <v>2</v>
      </c>
      <c r="E42" s="664">
        <v>1</v>
      </c>
      <c r="F42" s="663">
        <v>0</v>
      </c>
      <c r="G42" s="663">
        <v>1</v>
      </c>
      <c r="H42" s="663">
        <v>27</v>
      </c>
      <c r="I42" s="663">
        <v>46</v>
      </c>
      <c r="J42" s="664">
        <v>-19</v>
      </c>
      <c r="K42" s="663">
        <v>0</v>
      </c>
      <c r="L42" s="663">
        <v>0</v>
      </c>
      <c r="M42" s="663">
        <v>0</v>
      </c>
      <c r="N42" s="663">
        <v>2</v>
      </c>
      <c r="O42" s="663">
        <v>5</v>
      </c>
      <c r="P42" s="664">
        <v>4</v>
      </c>
    </row>
    <row r="43" spans="1:16" ht="15.8" customHeight="1" thickBot="1" x14ac:dyDescent="0.3">
      <c r="A43" s="662">
        <v>6</v>
      </c>
      <c r="B43" s="345" t="s">
        <v>51</v>
      </c>
      <c r="C43" s="278" t="s">
        <v>33</v>
      </c>
      <c r="D43" s="663">
        <v>2</v>
      </c>
      <c r="E43" s="664">
        <v>0</v>
      </c>
      <c r="F43" s="663">
        <v>0</v>
      </c>
      <c r="G43" s="663">
        <v>2</v>
      </c>
      <c r="H43" s="663">
        <v>10</v>
      </c>
      <c r="I43" s="663">
        <v>70</v>
      </c>
      <c r="J43" s="664">
        <v>-60</v>
      </c>
      <c r="K43" s="663">
        <v>0</v>
      </c>
      <c r="L43" s="663">
        <v>0</v>
      </c>
      <c r="M43" s="663">
        <v>0</v>
      </c>
      <c r="N43" s="663">
        <v>1</v>
      </c>
      <c r="O43" s="663">
        <v>10</v>
      </c>
      <c r="P43" s="664">
        <v>0</v>
      </c>
    </row>
    <row r="44" spans="1:16" ht="15.8" customHeight="1" x14ac:dyDescent="0.25"/>
    <row r="45" spans="1:16" ht="15.8" customHeight="1" x14ac:dyDescent="0.25">
      <c r="A45" s="204" t="s">
        <v>287</v>
      </c>
    </row>
    <row r="46" spans="1:16" ht="15.8" customHeight="1" thickBot="1" x14ac:dyDescent="0.3"/>
    <row r="47" spans="1:16" ht="14.95" thickBot="1" x14ac:dyDescent="0.3">
      <c r="A47" s="283" t="s">
        <v>47</v>
      </c>
      <c r="B47" s="284" t="s">
        <v>48</v>
      </c>
      <c r="C47" s="284"/>
      <c r="D47" s="284" t="s">
        <v>0</v>
      </c>
      <c r="E47" s="661" t="s">
        <v>1</v>
      </c>
      <c r="F47" s="284" t="s">
        <v>2</v>
      </c>
      <c r="G47" s="284" t="s">
        <v>3</v>
      </c>
      <c r="H47" s="284" t="s">
        <v>4</v>
      </c>
      <c r="I47" s="284" t="s">
        <v>5</v>
      </c>
      <c r="J47" s="661" t="s">
        <v>49</v>
      </c>
      <c r="K47" s="284" t="s">
        <v>21</v>
      </c>
      <c r="L47" s="284" t="s">
        <v>22</v>
      </c>
      <c r="M47" s="284" t="s">
        <v>64</v>
      </c>
      <c r="N47" s="284" t="s">
        <v>52</v>
      </c>
      <c r="O47" s="284" t="s">
        <v>53</v>
      </c>
      <c r="P47" s="661" t="s">
        <v>50</v>
      </c>
    </row>
    <row r="48" spans="1:16" ht="14.95" thickBot="1" x14ac:dyDescent="0.3">
      <c r="A48" s="662">
        <v>1</v>
      </c>
      <c r="B48" s="345" t="s">
        <v>51</v>
      </c>
      <c r="C48" s="280" t="s">
        <v>34</v>
      </c>
      <c r="D48" s="663">
        <v>1</v>
      </c>
      <c r="E48" s="664">
        <v>1</v>
      </c>
      <c r="F48" s="663">
        <v>0</v>
      </c>
      <c r="G48" s="663">
        <v>0</v>
      </c>
      <c r="H48" s="663">
        <v>37</v>
      </c>
      <c r="I48" s="663">
        <v>10</v>
      </c>
      <c r="J48" s="664">
        <v>27</v>
      </c>
      <c r="K48" s="663">
        <v>1</v>
      </c>
      <c r="L48" s="663">
        <v>0</v>
      </c>
      <c r="M48" s="663">
        <v>0</v>
      </c>
      <c r="N48" s="663">
        <v>5</v>
      </c>
      <c r="O48" s="663">
        <v>1</v>
      </c>
      <c r="P48" s="664">
        <v>5</v>
      </c>
    </row>
    <row r="49" spans="1:16" ht="14.95" thickBot="1" x14ac:dyDescent="0.3">
      <c r="A49" s="662">
        <v>2</v>
      </c>
      <c r="B49" s="345" t="s">
        <v>51</v>
      </c>
      <c r="C49" s="665" t="s">
        <v>39</v>
      </c>
      <c r="D49" s="663">
        <v>1</v>
      </c>
      <c r="E49" s="664">
        <v>1</v>
      </c>
      <c r="F49" s="663">
        <v>0</v>
      </c>
      <c r="G49" s="663">
        <v>0</v>
      </c>
      <c r="H49" s="663">
        <v>29</v>
      </c>
      <c r="I49" s="663">
        <v>7</v>
      </c>
      <c r="J49" s="664">
        <v>22</v>
      </c>
      <c r="K49" s="663">
        <v>1</v>
      </c>
      <c r="L49" s="663">
        <v>0</v>
      </c>
      <c r="M49" s="663">
        <v>0</v>
      </c>
      <c r="N49" s="663">
        <v>4</v>
      </c>
      <c r="O49" s="663">
        <v>1</v>
      </c>
      <c r="P49" s="664">
        <v>5</v>
      </c>
    </row>
    <row r="50" spans="1:16" ht="14.95" thickBot="1" x14ac:dyDescent="0.3">
      <c r="A50" s="662">
        <v>3</v>
      </c>
      <c r="B50" s="345" t="s">
        <v>51</v>
      </c>
      <c r="C50" s="666" t="s">
        <v>35</v>
      </c>
      <c r="D50" s="663">
        <v>1</v>
      </c>
      <c r="E50" s="664">
        <v>1</v>
      </c>
      <c r="F50" s="663">
        <v>0</v>
      </c>
      <c r="G50" s="663">
        <v>0</v>
      </c>
      <c r="H50" s="663">
        <v>20</v>
      </c>
      <c r="I50" s="663">
        <v>17</v>
      </c>
      <c r="J50" s="664">
        <v>3</v>
      </c>
      <c r="K50" s="663">
        <v>0</v>
      </c>
      <c r="L50" s="663">
        <v>0</v>
      </c>
      <c r="M50" s="663">
        <v>0</v>
      </c>
      <c r="N50" s="663">
        <v>2</v>
      </c>
      <c r="O50" s="663">
        <v>1</v>
      </c>
      <c r="P50" s="664">
        <v>4</v>
      </c>
    </row>
    <row r="51" spans="1:16" ht="14.95" thickBot="1" x14ac:dyDescent="0.3">
      <c r="A51" s="662">
        <v>4</v>
      </c>
      <c r="B51" s="345" t="s">
        <v>51</v>
      </c>
      <c r="C51" s="667" t="s">
        <v>30</v>
      </c>
      <c r="D51" s="663">
        <v>1</v>
      </c>
      <c r="E51" s="664">
        <v>0</v>
      </c>
      <c r="F51" s="663">
        <v>0</v>
      </c>
      <c r="G51" s="663">
        <v>1</v>
      </c>
      <c r="H51" s="663">
        <v>17</v>
      </c>
      <c r="I51" s="663">
        <v>20</v>
      </c>
      <c r="J51" s="664">
        <v>-3</v>
      </c>
      <c r="K51" s="663">
        <v>0</v>
      </c>
      <c r="L51" s="663">
        <v>1</v>
      </c>
      <c r="M51" s="663">
        <v>0</v>
      </c>
      <c r="N51" s="663">
        <v>1</v>
      </c>
      <c r="O51" s="663">
        <v>2</v>
      </c>
      <c r="P51" s="664">
        <v>1</v>
      </c>
    </row>
    <row r="52" spans="1:16" ht="14.95" thickBot="1" x14ac:dyDescent="0.3">
      <c r="A52" s="662">
        <v>5</v>
      </c>
      <c r="B52" s="345" t="s">
        <v>51</v>
      </c>
      <c r="C52" s="668" t="s">
        <v>32</v>
      </c>
      <c r="D52" s="663">
        <v>1</v>
      </c>
      <c r="E52" s="664">
        <v>0</v>
      </c>
      <c r="F52" s="663">
        <v>0</v>
      </c>
      <c r="G52" s="663">
        <v>1</v>
      </c>
      <c r="H52" s="663">
        <v>7</v>
      </c>
      <c r="I52" s="663">
        <v>29</v>
      </c>
      <c r="J52" s="664">
        <v>-22</v>
      </c>
      <c r="K52" s="663">
        <v>0</v>
      </c>
      <c r="L52" s="663">
        <v>0</v>
      </c>
      <c r="M52" s="663">
        <v>0</v>
      </c>
      <c r="N52" s="663">
        <v>1</v>
      </c>
      <c r="O52" s="663">
        <v>4</v>
      </c>
      <c r="P52" s="664">
        <v>0</v>
      </c>
    </row>
    <row r="53" spans="1:16" ht="14.95" thickBot="1" x14ac:dyDescent="0.3">
      <c r="A53" s="662">
        <v>6</v>
      </c>
      <c r="B53" s="345" t="s">
        <v>51</v>
      </c>
      <c r="C53" s="278" t="s">
        <v>33</v>
      </c>
      <c r="D53" s="663">
        <v>1</v>
      </c>
      <c r="E53" s="664">
        <v>0</v>
      </c>
      <c r="F53" s="663">
        <v>0</v>
      </c>
      <c r="G53" s="663">
        <v>1</v>
      </c>
      <c r="H53" s="663">
        <v>10</v>
      </c>
      <c r="I53" s="663">
        <v>37</v>
      </c>
      <c r="J53" s="664">
        <v>-27</v>
      </c>
      <c r="K53" s="663">
        <v>0</v>
      </c>
      <c r="L53" s="663">
        <v>0</v>
      </c>
      <c r="M53" s="663">
        <v>0</v>
      </c>
      <c r="N53" s="663">
        <v>1</v>
      </c>
      <c r="O53" s="663">
        <v>5</v>
      </c>
      <c r="P53" s="664">
        <v>0</v>
      </c>
    </row>
    <row r="55" spans="1:16" x14ac:dyDescent="0.25">
      <c r="A55" s="455" t="s">
        <v>28</v>
      </c>
    </row>
  </sheetData>
  <sortState xmlns:xlrd2="http://schemas.microsoft.com/office/spreadsheetml/2017/richdata2" ref="A2:P7">
    <sortCondition descending="1" ref="P2:P7"/>
    <sortCondition descending="1" ref="J2:J7"/>
    <sortCondition descending="1" ref="N2:N7"/>
    <sortCondition ref="C2:C7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39"/>
  <sheetViews>
    <sheetView workbookViewId="0">
      <selection activeCell="L18" sqref="L18"/>
    </sheetView>
  </sheetViews>
  <sheetFormatPr defaultRowHeight="14.3" x14ac:dyDescent="0.25"/>
  <cols>
    <col min="1" max="1" width="10.625" bestFit="1" customWidth="1"/>
    <col min="2" max="2" width="6" customWidth="1"/>
    <col min="7" max="7" width="2.625" customWidth="1"/>
    <col min="8" max="10" width="3.625" customWidth="1"/>
  </cols>
  <sheetData>
    <row r="1" spans="1:14" x14ac:dyDescent="0.25">
      <c r="B1" s="204" t="s">
        <v>121</v>
      </c>
      <c r="F1" s="239">
        <v>2022</v>
      </c>
    </row>
    <row r="2" spans="1:14" x14ac:dyDescent="0.25">
      <c r="A2" s="652">
        <v>44597</v>
      </c>
      <c r="B2" s="653">
        <v>14.15</v>
      </c>
      <c r="C2" s="732" t="s">
        <v>39</v>
      </c>
      <c r="D2" s="733"/>
      <c r="E2" s="733"/>
      <c r="F2" s="653">
        <v>29</v>
      </c>
      <c r="G2" s="654" t="s">
        <v>175</v>
      </c>
      <c r="H2" s="659">
        <v>7</v>
      </c>
      <c r="I2" s="738" t="s">
        <v>32</v>
      </c>
      <c r="J2" s="739"/>
      <c r="K2" s="739"/>
      <c r="L2" s="732" t="s">
        <v>72</v>
      </c>
      <c r="M2" s="732"/>
      <c r="N2" s="732"/>
    </row>
    <row r="3" spans="1:14" x14ac:dyDescent="0.25">
      <c r="A3" s="652">
        <v>44597</v>
      </c>
      <c r="B3" s="653">
        <v>16.45</v>
      </c>
      <c r="C3" s="731" t="s">
        <v>35</v>
      </c>
      <c r="D3" s="731"/>
      <c r="E3" s="731"/>
      <c r="F3" s="653">
        <v>20</v>
      </c>
      <c r="G3" s="654" t="s">
        <v>175</v>
      </c>
      <c r="H3" s="659">
        <v>17</v>
      </c>
      <c r="I3" s="653" t="s">
        <v>30</v>
      </c>
      <c r="J3" s="653"/>
      <c r="K3" s="653"/>
      <c r="L3" s="731" t="s">
        <v>66</v>
      </c>
      <c r="M3" s="731"/>
      <c r="N3" s="731"/>
    </row>
    <row r="4" spans="1:14" x14ac:dyDescent="0.25">
      <c r="A4" s="652">
        <v>44598</v>
      </c>
      <c r="B4" s="658">
        <v>0.625</v>
      </c>
      <c r="C4" s="731" t="s">
        <v>34</v>
      </c>
      <c r="D4" s="731"/>
      <c r="E4" s="731"/>
      <c r="F4" s="653">
        <v>37</v>
      </c>
      <c r="G4" s="654" t="s">
        <v>175</v>
      </c>
      <c r="H4" s="659">
        <v>10</v>
      </c>
      <c r="I4" s="734" t="s">
        <v>33</v>
      </c>
      <c r="J4" s="734"/>
      <c r="K4" s="734"/>
      <c r="L4" s="731" t="s">
        <v>70</v>
      </c>
      <c r="M4" s="731"/>
      <c r="N4" s="731"/>
    </row>
    <row r="5" spans="1:14" x14ac:dyDescent="0.25">
      <c r="A5" s="652">
        <v>44604</v>
      </c>
      <c r="B5" s="658">
        <v>0.59375</v>
      </c>
      <c r="C5" s="732" t="s">
        <v>32</v>
      </c>
      <c r="D5" s="733"/>
      <c r="E5" s="733"/>
      <c r="F5" s="653">
        <v>20</v>
      </c>
      <c r="G5" s="654" t="s">
        <v>175</v>
      </c>
      <c r="H5" s="659">
        <v>17</v>
      </c>
      <c r="I5" s="653" t="s">
        <v>35</v>
      </c>
      <c r="J5" s="653"/>
      <c r="K5" s="653"/>
      <c r="L5" s="731" t="s">
        <v>69</v>
      </c>
      <c r="M5" s="731"/>
      <c r="N5" s="731"/>
    </row>
    <row r="6" spans="1:14" x14ac:dyDescent="0.25">
      <c r="A6" s="652">
        <v>44604</v>
      </c>
      <c r="B6" s="658">
        <v>0.69791666666666663</v>
      </c>
      <c r="C6" s="731" t="s">
        <v>34</v>
      </c>
      <c r="D6" s="731"/>
      <c r="E6" s="731"/>
      <c r="F6" s="653">
        <v>30</v>
      </c>
      <c r="G6" s="654" t="s">
        <v>175</v>
      </c>
      <c r="H6" s="659">
        <v>24</v>
      </c>
      <c r="I6" s="653" t="s">
        <v>39</v>
      </c>
      <c r="J6" s="653"/>
      <c r="K6" s="653"/>
      <c r="L6" s="731" t="s">
        <v>70</v>
      </c>
      <c r="M6" s="731"/>
      <c r="N6" s="731"/>
    </row>
    <row r="7" spans="1:14" x14ac:dyDescent="0.25">
      <c r="A7" s="652">
        <v>44605</v>
      </c>
      <c r="B7" s="658">
        <v>0.625</v>
      </c>
      <c r="C7" s="732" t="s">
        <v>33</v>
      </c>
      <c r="D7" s="733"/>
      <c r="E7" s="733"/>
      <c r="F7" s="653">
        <v>0</v>
      </c>
      <c r="G7" s="654" t="s">
        <v>175</v>
      </c>
      <c r="H7" s="659">
        <v>33</v>
      </c>
      <c r="I7" s="653" t="s">
        <v>30</v>
      </c>
      <c r="J7" s="653"/>
      <c r="K7" s="653"/>
      <c r="L7" s="731" t="s">
        <v>68</v>
      </c>
      <c r="M7" s="731"/>
      <c r="N7" s="731"/>
    </row>
    <row r="8" spans="1:14" x14ac:dyDescent="0.25">
      <c r="A8" s="652">
        <v>44618</v>
      </c>
      <c r="B8" s="658">
        <v>0.59375</v>
      </c>
      <c r="C8" s="731" t="s">
        <v>35</v>
      </c>
      <c r="D8" s="731"/>
      <c r="E8" s="731"/>
      <c r="F8" s="653">
        <v>17</v>
      </c>
      <c r="G8" s="654" t="s">
        <v>175</v>
      </c>
      <c r="H8" s="659">
        <v>36</v>
      </c>
      <c r="I8" s="653" t="s">
        <v>34</v>
      </c>
      <c r="J8" s="653"/>
      <c r="K8" s="653"/>
      <c r="L8" s="731" t="s">
        <v>66</v>
      </c>
      <c r="M8" s="731"/>
      <c r="N8" s="731"/>
    </row>
    <row r="9" spans="1:14" x14ac:dyDescent="0.25">
      <c r="A9" s="652">
        <v>44618</v>
      </c>
      <c r="B9" s="658">
        <v>0.69791666666666663</v>
      </c>
      <c r="C9" s="732" t="s">
        <v>30</v>
      </c>
      <c r="D9" s="733"/>
      <c r="E9" s="733"/>
      <c r="F9" s="653">
        <v>23</v>
      </c>
      <c r="G9" s="654" t="s">
        <v>175</v>
      </c>
      <c r="H9" s="659">
        <v>19</v>
      </c>
      <c r="I9" s="653" t="s">
        <v>32</v>
      </c>
      <c r="J9" s="653"/>
      <c r="K9" s="653"/>
      <c r="L9" s="732" t="s">
        <v>67</v>
      </c>
      <c r="M9" s="733"/>
      <c r="N9" s="733"/>
    </row>
    <row r="10" spans="1:14" x14ac:dyDescent="0.25">
      <c r="A10" s="652">
        <v>44619</v>
      </c>
      <c r="B10" s="658">
        <v>0.625</v>
      </c>
      <c r="C10" s="732" t="s">
        <v>39</v>
      </c>
      <c r="D10" s="733"/>
      <c r="E10" s="733"/>
      <c r="F10" s="653">
        <v>57</v>
      </c>
      <c r="G10" s="654" t="s">
        <v>175</v>
      </c>
      <c r="H10" s="659">
        <v>6</v>
      </c>
      <c r="I10" s="653" t="s">
        <v>33</v>
      </c>
      <c r="J10" s="653"/>
      <c r="K10" s="653"/>
      <c r="L10" s="732" t="s">
        <v>72</v>
      </c>
      <c r="M10" s="732"/>
      <c r="N10" s="732"/>
    </row>
    <row r="11" spans="1:14" x14ac:dyDescent="0.25">
      <c r="A11" s="652">
        <v>44631</v>
      </c>
      <c r="B11" s="658">
        <v>0.83333333333333337</v>
      </c>
      <c r="C11" s="732" t="s">
        <v>32</v>
      </c>
      <c r="D11" s="733"/>
      <c r="E11" s="733"/>
      <c r="F11" s="653">
        <v>9</v>
      </c>
      <c r="G11" s="654" t="s">
        <v>175</v>
      </c>
      <c r="H11" s="659">
        <v>13</v>
      </c>
      <c r="I11" s="653" t="s">
        <v>34</v>
      </c>
      <c r="J11" s="653"/>
      <c r="K11" s="653"/>
      <c r="L11" s="731" t="s">
        <v>69</v>
      </c>
      <c r="M11" s="731"/>
      <c r="N11" s="731"/>
    </row>
    <row r="12" spans="1:14" x14ac:dyDescent="0.25">
      <c r="A12" s="652">
        <v>44632</v>
      </c>
      <c r="B12" s="658">
        <v>0.59375</v>
      </c>
      <c r="C12" s="732" t="s">
        <v>33</v>
      </c>
      <c r="D12" s="733"/>
      <c r="E12" s="733"/>
      <c r="F12" s="653">
        <v>22</v>
      </c>
      <c r="G12" s="654" t="s">
        <v>175</v>
      </c>
      <c r="H12" s="659">
        <v>33</v>
      </c>
      <c r="I12" s="653" t="s">
        <v>35</v>
      </c>
      <c r="J12" s="653"/>
      <c r="K12" s="653"/>
      <c r="L12" s="731" t="s">
        <v>68</v>
      </c>
      <c r="M12" s="731"/>
      <c r="N12" s="731"/>
    </row>
    <row r="13" spans="1:14" x14ac:dyDescent="0.25">
      <c r="A13" s="652">
        <v>44632</v>
      </c>
      <c r="B13" s="658">
        <v>0.69791666666666663</v>
      </c>
      <c r="C13" s="732" t="s">
        <v>30</v>
      </c>
      <c r="D13" s="733"/>
      <c r="E13" s="733"/>
      <c r="F13" s="653">
        <v>15</v>
      </c>
      <c r="G13" s="654" t="s">
        <v>175</v>
      </c>
      <c r="H13" s="659">
        <v>32</v>
      </c>
      <c r="I13" s="653" t="s">
        <v>39</v>
      </c>
      <c r="J13" s="653"/>
      <c r="K13" s="653"/>
      <c r="L13" s="732" t="s">
        <v>67</v>
      </c>
      <c r="M13" s="733"/>
      <c r="N13" s="733"/>
    </row>
    <row r="14" spans="1:14" x14ac:dyDescent="0.25">
      <c r="A14" s="652">
        <v>44639</v>
      </c>
      <c r="B14" s="658">
        <v>0.59375</v>
      </c>
      <c r="C14" s="732" t="s">
        <v>32</v>
      </c>
      <c r="D14" s="733"/>
      <c r="E14" s="733"/>
      <c r="F14" s="653">
        <v>21</v>
      </c>
      <c r="G14" s="654" t="s">
        <v>175</v>
      </c>
      <c r="H14" s="659">
        <v>22</v>
      </c>
      <c r="I14" s="653" t="s">
        <v>33</v>
      </c>
      <c r="J14" s="653"/>
      <c r="K14" s="653"/>
      <c r="L14" s="731" t="s">
        <v>69</v>
      </c>
      <c r="M14" s="731"/>
      <c r="N14" s="731"/>
    </row>
    <row r="15" spans="1:14" x14ac:dyDescent="0.25">
      <c r="A15" s="652">
        <v>44639</v>
      </c>
      <c r="B15" s="658">
        <v>0.69791666666666663</v>
      </c>
      <c r="C15" s="732" t="s">
        <v>39</v>
      </c>
      <c r="D15" s="733"/>
      <c r="E15" s="733"/>
      <c r="F15" s="653">
        <v>26</v>
      </c>
      <c r="G15" s="654" t="s">
        <v>175</v>
      </c>
      <c r="H15" s="659">
        <v>5</v>
      </c>
      <c r="I15" s="653" t="s">
        <v>35</v>
      </c>
      <c r="J15" s="653"/>
      <c r="K15" s="653"/>
      <c r="L15" s="732" t="s">
        <v>72</v>
      </c>
      <c r="M15" s="732"/>
      <c r="N15" s="732"/>
    </row>
    <row r="16" spans="1:14" x14ac:dyDescent="0.25">
      <c r="A16" s="652">
        <v>44639</v>
      </c>
      <c r="B16" s="658">
        <v>0.83333333333333337</v>
      </c>
      <c r="C16" s="731" t="s">
        <v>34</v>
      </c>
      <c r="D16" s="731"/>
      <c r="E16" s="731"/>
      <c r="F16" s="653">
        <v>25</v>
      </c>
      <c r="G16" s="654" t="s">
        <v>175</v>
      </c>
      <c r="H16" s="659">
        <v>13</v>
      </c>
      <c r="I16" s="653" t="s">
        <v>30</v>
      </c>
      <c r="J16" s="653"/>
      <c r="K16" s="653"/>
      <c r="L16" s="731" t="s">
        <v>70</v>
      </c>
      <c r="M16" s="731"/>
      <c r="N16" s="731"/>
    </row>
    <row r="18" spans="1:14" x14ac:dyDescent="0.25">
      <c r="B18" s="204" t="s">
        <v>121</v>
      </c>
      <c r="F18" s="239">
        <v>2021</v>
      </c>
    </row>
    <row r="19" spans="1:14" x14ac:dyDescent="0.25">
      <c r="A19" s="237">
        <v>44233</v>
      </c>
      <c r="B19" s="240">
        <v>14.15</v>
      </c>
      <c r="C19" s="731" t="s">
        <v>33</v>
      </c>
      <c r="D19" s="731"/>
      <c r="E19" s="731"/>
      <c r="F19" s="239">
        <v>10</v>
      </c>
      <c r="G19" s="238" t="s">
        <v>175</v>
      </c>
      <c r="H19" s="261">
        <v>50</v>
      </c>
      <c r="I19" s="734" t="s">
        <v>34</v>
      </c>
      <c r="J19" s="734"/>
      <c r="K19" s="734"/>
      <c r="L19" s="731" t="s">
        <v>68</v>
      </c>
      <c r="M19" s="731"/>
      <c r="N19" s="731"/>
    </row>
    <row r="20" spans="1:14" x14ac:dyDescent="0.25">
      <c r="A20" s="237">
        <v>44233</v>
      </c>
      <c r="B20" s="240">
        <v>16.45</v>
      </c>
      <c r="C20" s="731" t="s">
        <v>30</v>
      </c>
      <c r="D20" s="731"/>
      <c r="E20" s="731"/>
      <c r="F20" s="672">
        <v>6</v>
      </c>
      <c r="G20" s="238" t="s">
        <v>175</v>
      </c>
      <c r="H20" s="261">
        <v>11</v>
      </c>
      <c r="I20" s="734" t="s">
        <v>35</v>
      </c>
      <c r="J20" s="734"/>
      <c r="K20" s="734"/>
      <c r="L20" s="731" t="s">
        <v>67</v>
      </c>
      <c r="M20" s="731"/>
      <c r="N20" s="731"/>
    </row>
    <row r="21" spans="1:14" x14ac:dyDescent="0.25">
      <c r="A21" s="237">
        <v>44234</v>
      </c>
      <c r="B21" s="240">
        <v>15</v>
      </c>
      <c r="C21" s="731" t="s">
        <v>32</v>
      </c>
      <c r="D21" s="731"/>
      <c r="E21" s="731"/>
      <c r="F21" s="239">
        <v>21</v>
      </c>
      <c r="G21" s="238" t="s">
        <v>175</v>
      </c>
      <c r="H21" s="261">
        <v>16</v>
      </c>
      <c r="I21" s="734" t="s">
        <v>39</v>
      </c>
      <c r="J21" s="734"/>
      <c r="K21" s="734"/>
      <c r="L21" s="731" t="s">
        <v>69</v>
      </c>
      <c r="M21" s="731"/>
      <c r="N21" s="731"/>
    </row>
    <row r="22" spans="1:14" x14ac:dyDescent="0.25">
      <c r="A22" s="237">
        <v>44240</v>
      </c>
      <c r="B22" s="238">
        <v>14.15</v>
      </c>
      <c r="C22" s="731" t="s">
        <v>30</v>
      </c>
      <c r="D22" s="731"/>
      <c r="E22" s="731"/>
      <c r="F22" s="239">
        <v>41</v>
      </c>
      <c r="G22" s="238" t="s">
        <v>175</v>
      </c>
      <c r="H22" s="261">
        <v>18</v>
      </c>
      <c r="I22" s="734" t="s">
        <v>33</v>
      </c>
      <c r="J22" s="734"/>
      <c r="K22" s="734"/>
      <c r="L22" s="731" t="s">
        <v>67</v>
      </c>
      <c r="M22" s="731"/>
      <c r="N22" s="731"/>
    </row>
    <row r="23" spans="1:14" x14ac:dyDescent="0.25">
      <c r="A23" s="237">
        <v>44240</v>
      </c>
      <c r="B23" s="240">
        <v>16.45</v>
      </c>
      <c r="C23" s="731" t="s">
        <v>35</v>
      </c>
      <c r="D23" s="731"/>
      <c r="E23" s="731"/>
      <c r="F23" s="239">
        <v>24</v>
      </c>
      <c r="G23" s="238" t="s">
        <v>175</v>
      </c>
      <c r="H23" s="261">
        <v>25</v>
      </c>
      <c r="I23" s="734" t="s">
        <v>32</v>
      </c>
      <c r="J23" s="734"/>
      <c r="K23" s="734"/>
      <c r="L23" s="731" t="s">
        <v>66</v>
      </c>
      <c r="M23" s="731"/>
      <c r="N23" s="731"/>
    </row>
    <row r="24" spans="1:14" x14ac:dyDescent="0.25">
      <c r="A24" s="237">
        <v>44241</v>
      </c>
      <c r="B24" s="240">
        <v>15</v>
      </c>
      <c r="C24" s="731" t="s">
        <v>39</v>
      </c>
      <c r="D24" s="731"/>
      <c r="E24" s="731"/>
      <c r="F24" s="239">
        <v>13</v>
      </c>
      <c r="G24" s="238" t="s">
        <v>175</v>
      </c>
      <c r="H24" s="261">
        <v>15</v>
      </c>
      <c r="I24" s="734" t="s">
        <v>34</v>
      </c>
      <c r="J24" s="734"/>
      <c r="K24" s="734"/>
      <c r="L24" s="731" t="s">
        <v>72</v>
      </c>
      <c r="M24" s="731"/>
      <c r="N24" s="731"/>
    </row>
    <row r="25" spans="1:14" x14ac:dyDescent="0.25">
      <c r="A25" s="237">
        <v>44254</v>
      </c>
      <c r="B25" s="238">
        <v>14.15</v>
      </c>
      <c r="C25" s="731" t="s">
        <v>33</v>
      </c>
      <c r="D25" s="731"/>
      <c r="E25" s="731"/>
      <c r="F25" s="239">
        <v>10</v>
      </c>
      <c r="G25" s="238" t="s">
        <v>175</v>
      </c>
      <c r="H25" s="261">
        <v>48</v>
      </c>
      <c r="I25" s="734" t="s">
        <v>39</v>
      </c>
      <c r="J25" s="734"/>
      <c r="K25" s="734"/>
      <c r="L25" s="731" t="s">
        <v>68</v>
      </c>
      <c r="M25" s="731"/>
      <c r="N25" s="731"/>
    </row>
    <row r="26" spans="1:14" x14ac:dyDescent="0.25">
      <c r="A26" s="237">
        <v>44254</v>
      </c>
      <c r="B26" s="240">
        <v>16.45</v>
      </c>
      <c r="C26" s="731" t="s">
        <v>32</v>
      </c>
      <c r="D26" s="731"/>
      <c r="E26" s="731"/>
      <c r="F26" s="239">
        <v>40</v>
      </c>
      <c r="G26" s="238" t="s">
        <v>175</v>
      </c>
      <c r="H26" s="261">
        <v>24</v>
      </c>
      <c r="I26" s="734" t="s">
        <v>30</v>
      </c>
      <c r="J26" s="734"/>
      <c r="K26" s="734"/>
      <c r="L26" s="731" t="s">
        <v>69</v>
      </c>
      <c r="M26" s="731"/>
      <c r="N26" s="731"/>
    </row>
    <row r="27" spans="1:14" x14ac:dyDescent="0.25">
      <c r="A27" s="237">
        <v>44255</v>
      </c>
      <c r="B27" s="240" t="s">
        <v>58</v>
      </c>
      <c r="C27" s="731" t="s">
        <v>34</v>
      </c>
      <c r="D27" s="731"/>
      <c r="E27" s="731"/>
      <c r="F27" s="239" t="s">
        <v>14</v>
      </c>
      <c r="G27" s="238" t="s">
        <v>175</v>
      </c>
      <c r="H27" s="261" t="s">
        <v>14</v>
      </c>
      <c r="I27" s="734" t="s">
        <v>35</v>
      </c>
      <c r="J27" s="734"/>
      <c r="K27" s="734"/>
      <c r="L27" s="731" t="s">
        <v>58</v>
      </c>
      <c r="M27" s="731"/>
      <c r="N27" s="731"/>
    </row>
    <row r="28" spans="1:14" x14ac:dyDescent="0.25">
      <c r="A28" s="237">
        <v>44268</v>
      </c>
      <c r="B28" s="240">
        <v>14.15</v>
      </c>
      <c r="C28" s="731" t="s">
        <v>33</v>
      </c>
      <c r="D28" s="731"/>
      <c r="E28" s="731"/>
      <c r="F28" s="239">
        <v>7</v>
      </c>
      <c r="G28" s="238" t="s">
        <v>175</v>
      </c>
      <c r="H28" s="261">
        <v>48</v>
      </c>
      <c r="I28" s="734" t="s">
        <v>32</v>
      </c>
      <c r="J28" s="734"/>
      <c r="K28" s="734"/>
      <c r="L28" s="731" t="s">
        <v>68</v>
      </c>
      <c r="M28" s="731"/>
      <c r="N28" s="731"/>
    </row>
    <row r="29" spans="1:14" x14ac:dyDescent="0.25">
      <c r="A29" s="237">
        <v>44268</v>
      </c>
      <c r="B29" s="240">
        <v>16.45</v>
      </c>
      <c r="C29" s="731" t="s">
        <v>30</v>
      </c>
      <c r="D29" s="731"/>
      <c r="E29" s="731"/>
      <c r="F29" s="239">
        <v>23</v>
      </c>
      <c r="G29" s="238" t="s">
        <v>175</v>
      </c>
      <c r="H29" s="261">
        <v>20</v>
      </c>
      <c r="I29" s="734" t="s">
        <v>34</v>
      </c>
      <c r="J29" s="734"/>
      <c r="K29" s="734"/>
      <c r="L29" s="731" t="s">
        <v>67</v>
      </c>
      <c r="M29" s="731"/>
      <c r="N29" s="731"/>
    </row>
    <row r="30" spans="1:14" x14ac:dyDescent="0.25">
      <c r="A30" s="237">
        <v>44269</v>
      </c>
      <c r="B30" s="240">
        <v>15</v>
      </c>
      <c r="C30" s="239"/>
      <c r="D30" s="239"/>
      <c r="E30" s="239" t="s">
        <v>35</v>
      </c>
      <c r="F30" s="239">
        <v>24</v>
      </c>
      <c r="G30" s="238" t="s">
        <v>175</v>
      </c>
      <c r="H30" s="261">
        <v>27</v>
      </c>
      <c r="I30" s="235" t="s">
        <v>39</v>
      </c>
      <c r="J30" s="235"/>
      <c r="K30" s="235"/>
      <c r="L30" s="239"/>
      <c r="M30" s="235"/>
      <c r="N30" s="239" t="s">
        <v>66</v>
      </c>
    </row>
    <row r="31" spans="1:14" x14ac:dyDescent="0.25">
      <c r="A31" s="237">
        <v>44275</v>
      </c>
      <c r="B31" s="238">
        <v>14.15</v>
      </c>
      <c r="C31" s="731" t="s">
        <v>35</v>
      </c>
      <c r="D31" s="731"/>
      <c r="E31" s="731"/>
      <c r="F31" s="239">
        <v>52</v>
      </c>
      <c r="G31" s="238" t="s">
        <v>175</v>
      </c>
      <c r="H31" s="261">
        <v>10</v>
      </c>
      <c r="I31" s="734" t="s">
        <v>33</v>
      </c>
      <c r="J31" s="734"/>
      <c r="K31" s="734"/>
      <c r="L31" s="731" t="s">
        <v>66</v>
      </c>
      <c r="M31" s="731"/>
      <c r="N31" s="731"/>
    </row>
    <row r="32" spans="1:14" x14ac:dyDescent="0.25">
      <c r="A32" s="237">
        <v>44275</v>
      </c>
      <c r="B32" s="240">
        <v>16.45</v>
      </c>
      <c r="C32" s="731" t="s">
        <v>39</v>
      </c>
      <c r="D32" s="731"/>
      <c r="E32" s="731"/>
      <c r="F32" s="239">
        <v>32</v>
      </c>
      <c r="G32" s="238" t="s">
        <v>175</v>
      </c>
      <c r="H32" s="261">
        <v>18</v>
      </c>
      <c r="I32" s="734" t="s">
        <v>30</v>
      </c>
      <c r="J32" s="734"/>
      <c r="K32" s="734"/>
      <c r="L32" s="731" t="s">
        <v>72</v>
      </c>
      <c r="M32" s="731"/>
      <c r="N32" s="731"/>
    </row>
    <row r="33" spans="1:14" x14ac:dyDescent="0.25">
      <c r="A33" s="237">
        <v>44275</v>
      </c>
      <c r="B33" s="240">
        <v>20</v>
      </c>
      <c r="C33" s="731" t="s">
        <v>34</v>
      </c>
      <c r="D33" s="731"/>
      <c r="E33" s="731"/>
      <c r="F33" s="239">
        <v>32</v>
      </c>
      <c r="G33" s="238" t="s">
        <v>175</v>
      </c>
      <c r="H33" s="261">
        <v>30</v>
      </c>
      <c r="I33" s="734" t="s">
        <v>32</v>
      </c>
      <c r="J33" s="734"/>
      <c r="K33" s="734"/>
      <c r="L33" s="731" t="s">
        <v>70</v>
      </c>
      <c r="M33" s="731"/>
      <c r="N33" s="731"/>
    </row>
    <row r="34" spans="1:14" x14ac:dyDescent="0.25">
      <c r="A34" s="237">
        <v>44281</v>
      </c>
      <c r="B34" s="240">
        <v>20</v>
      </c>
      <c r="C34" s="239"/>
      <c r="D34" s="239"/>
      <c r="E34" s="239" t="s">
        <v>34</v>
      </c>
      <c r="F34" s="239">
        <v>23</v>
      </c>
      <c r="G34" s="238" t="s">
        <v>175</v>
      </c>
      <c r="H34" s="261">
        <v>27</v>
      </c>
      <c r="I34" s="235" t="s">
        <v>35</v>
      </c>
      <c r="J34" s="235"/>
      <c r="K34" s="235"/>
      <c r="L34" s="731" t="s">
        <v>70</v>
      </c>
      <c r="M34" s="731"/>
      <c r="N34" s="731"/>
    </row>
    <row r="36" spans="1:14" x14ac:dyDescent="0.25">
      <c r="B36" s="204" t="s">
        <v>121</v>
      </c>
      <c r="F36" s="239">
        <v>2020</v>
      </c>
    </row>
    <row r="37" spans="1:14" x14ac:dyDescent="0.25">
      <c r="A37" s="237">
        <v>43862</v>
      </c>
      <c r="B37" s="240">
        <v>14.15</v>
      </c>
      <c r="C37" s="731" t="s">
        <v>32</v>
      </c>
      <c r="D37" s="731"/>
      <c r="E37" s="731"/>
      <c r="F37" s="239">
        <v>42</v>
      </c>
      <c r="G37" s="238" t="s">
        <v>175</v>
      </c>
      <c r="H37" s="261">
        <v>0</v>
      </c>
      <c r="I37" s="734" t="s">
        <v>33</v>
      </c>
      <c r="J37" s="734"/>
      <c r="K37" s="734"/>
      <c r="L37" s="731" t="s">
        <v>69</v>
      </c>
      <c r="M37" s="731"/>
      <c r="N37" s="731"/>
    </row>
    <row r="38" spans="1:14" x14ac:dyDescent="0.25">
      <c r="A38" s="237">
        <v>43862</v>
      </c>
      <c r="B38" s="240">
        <v>16.45</v>
      </c>
      <c r="C38" s="731" t="s">
        <v>39</v>
      </c>
      <c r="D38" s="731"/>
      <c r="E38" s="731"/>
      <c r="F38" s="239">
        <v>19</v>
      </c>
      <c r="G38" s="238" t="s">
        <v>175</v>
      </c>
      <c r="H38" s="261">
        <v>12</v>
      </c>
      <c r="I38" s="734" t="s">
        <v>35</v>
      </c>
      <c r="J38" s="734"/>
      <c r="K38" s="734"/>
      <c r="L38" s="731" t="s">
        <v>72</v>
      </c>
      <c r="M38" s="731"/>
      <c r="N38" s="731"/>
    </row>
    <row r="39" spans="1:14" x14ac:dyDescent="0.25">
      <c r="A39" s="237">
        <v>43863</v>
      </c>
      <c r="B39" s="240">
        <v>15</v>
      </c>
      <c r="C39" s="731" t="s">
        <v>34</v>
      </c>
      <c r="D39" s="731"/>
      <c r="E39" s="731"/>
      <c r="F39" s="239">
        <v>24</v>
      </c>
      <c r="G39" s="238" t="s">
        <v>175</v>
      </c>
      <c r="H39" s="261">
        <v>17</v>
      </c>
      <c r="I39" s="734" t="s">
        <v>30</v>
      </c>
      <c r="J39" s="734"/>
      <c r="K39" s="734"/>
      <c r="L39" s="731" t="s">
        <v>70</v>
      </c>
      <c r="M39" s="731"/>
      <c r="N39" s="731"/>
    </row>
    <row r="40" spans="1:14" x14ac:dyDescent="0.25">
      <c r="A40" s="237">
        <v>43869</v>
      </c>
      <c r="B40" s="238">
        <v>14.15</v>
      </c>
      <c r="C40" s="731" t="s">
        <v>39</v>
      </c>
      <c r="D40" s="731"/>
      <c r="E40" s="731"/>
      <c r="F40" s="239">
        <v>24</v>
      </c>
      <c r="G40" s="238" t="s">
        <v>175</v>
      </c>
      <c r="H40" s="261">
        <v>14</v>
      </c>
      <c r="I40" s="734" t="s">
        <v>32</v>
      </c>
      <c r="J40" s="734"/>
      <c r="K40" s="734"/>
      <c r="L40" s="731" t="s">
        <v>72</v>
      </c>
      <c r="M40" s="731"/>
      <c r="N40" s="731"/>
    </row>
    <row r="41" spans="1:14" x14ac:dyDescent="0.25">
      <c r="A41" s="237">
        <v>43869</v>
      </c>
      <c r="B41" s="240">
        <v>16.45</v>
      </c>
      <c r="C41" s="731" t="s">
        <v>35</v>
      </c>
      <c r="D41" s="731"/>
      <c r="E41" s="731"/>
      <c r="F41" s="239">
        <v>6</v>
      </c>
      <c r="G41" s="238" t="s">
        <v>175</v>
      </c>
      <c r="H41" s="261">
        <v>13</v>
      </c>
      <c r="I41" s="734" t="s">
        <v>30</v>
      </c>
      <c r="J41" s="734"/>
      <c r="K41" s="734"/>
      <c r="L41" s="731" t="s">
        <v>66</v>
      </c>
      <c r="M41" s="731"/>
      <c r="N41" s="731"/>
    </row>
    <row r="42" spans="1:14" x14ac:dyDescent="0.25">
      <c r="A42" s="237">
        <v>43870</v>
      </c>
      <c r="B42" s="240">
        <v>15</v>
      </c>
      <c r="C42" s="731" t="s">
        <v>34</v>
      </c>
      <c r="D42" s="731"/>
      <c r="E42" s="731"/>
      <c r="F42" s="239">
        <v>35</v>
      </c>
      <c r="G42" s="238" t="s">
        <v>175</v>
      </c>
      <c r="H42" s="261">
        <v>22</v>
      </c>
      <c r="I42" s="734" t="s">
        <v>33</v>
      </c>
      <c r="J42" s="734"/>
      <c r="K42" s="734"/>
      <c r="L42" s="731" t="s">
        <v>70</v>
      </c>
      <c r="M42" s="731"/>
      <c r="N42" s="731"/>
    </row>
    <row r="43" spans="1:14" x14ac:dyDescent="0.25">
      <c r="A43" s="237">
        <v>43883</v>
      </c>
      <c r="B43" s="238">
        <v>14.15</v>
      </c>
      <c r="C43" s="731" t="s">
        <v>33</v>
      </c>
      <c r="D43" s="731"/>
      <c r="E43" s="731"/>
      <c r="F43" s="239">
        <v>0</v>
      </c>
      <c r="G43" s="238" t="s">
        <v>175</v>
      </c>
      <c r="H43" s="261">
        <v>17</v>
      </c>
      <c r="I43" s="734" t="s">
        <v>35</v>
      </c>
      <c r="J43" s="734"/>
      <c r="K43" s="734"/>
      <c r="L43" s="731" t="s">
        <v>68</v>
      </c>
      <c r="M43" s="731"/>
      <c r="N43" s="731"/>
    </row>
    <row r="44" spans="1:14" x14ac:dyDescent="0.25">
      <c r="A44" s="237">
        <v>43883</v>
      </c>
      <c r="B44" s="240">
        <v>16.45</v>
      </c>
      <c r="C44" s="731" t="s">
        <v>32</v>
      </c>
      <c r="D44" s="731"/>
      <c r="E44" s="731"/>
      <c r="F44" s="239">
        <v>23</v>
      </c>
      <c r="G44" s="238" t="s">
        <v>175</v>
      </c>
      <c r="H44" s="261">
        <v>27</v>
      </c>
      <c r="I44" s="734" t="s">
        <v>34</v>
      </c>
      <c r="J44" s="734"/>
      <c r="K44" s="734"/>
      <c r="L44" s="731" t="s">
        <v>69</v>
      </c>
      <c r="M44" s="731"/>
      <c r="N44" s="731"/>
    </row>
    <row r="45" spans="1:14" x14ac:dyDescent="0.25">
      <c r="A45" s="237">
        <v>43884</v>
      </c>
      <c r="B45" s="240">
        <v>15</v>
      </c>
      <c r="C45" s="731" t="s">
        <v>30</v>
      </c>
      <c r="D45" s="731"/>
      <c r="E45" s="731"/>
      <c r="F45" s="239">
        <v>24</v>
      </c>
      <c r="G45" s="238" t="s">
        <v>175</v>
      </c>
      <c r="H45" s="261">
        <v>12</v>
      </c>
      <c r="I45" s="734" t="s">
        <v>39</v>
      </c>
      <c r="J45" s="734"/>
      <c r="K45" s="734"/>
      <c r="L45" s="731" t="s">
        <v>67</v>
      </c>
      <c r="M45" s="731"/>
      <c r="N45" s="731"/>
    </row>
    <row r="46" spans="1:14" x14ac:dyDescent="0.25">
      <c r="A46" s="237">
        <v>43897</v>
      </c>
      <c r="B46" s="240">
        <v>16.45</v>
      </c>
      <c r="C46" s="731" t="s">
        <v>30</v>
      </c>
      <c r="D46" s="731"/>
      <c r="E46" s="731"/>
      <c r="F46" s="239">
        <v>33</v>
      </c>
      <c r="G46" s="238" t="s">
        <v>175</v>
      </c>
      <c r="H46" s="261">
        <v>30</v>
      </c>
      <c r="I46" s="734" t="s">
        <v>32</v>
      </c>
      <c r="J46" s="734"/>
      <c r="K46" s="734"/>
      <c r="L46" s="731" t="s">
        <v>67</v>
      </c>
      <c r="M46" s="731"/>
      <c r="N46" s="731"/>
    </row>
    <row r="47" spans="1:14" x14ac:dyDescent="0.25">
      <c r="A47" s="237">
        <v>43898</v>
      </c>
      <c r="B47" s="240">
        <v>15</v>
      </c>
      <c r="C47" s="731" t="s">
        <v>35</v>
      </c>
      <c r="D47" s="731"/>
      <c r="E47" s="731"/>
      <c r="F47" s="239">
        <v>26</v>
      </c>
      <c r="G47" s="238" t="s">
        <v>175</v>
      </c>
      <c r="H47" s="261">
        <v>17</v>
      </c>
      <c r="I47" s="734" t="s">
        <v>34</v>
      </c>
      <c r="J47" s="734"/>
      <c r="K47" s="734"/>
      <c r="L47" s="731" t="s">
        <v>66</v>
      </c>
      <c r="M47" s="731"/>
      <c r="N47" s="731"/>
    </row>
    <row r="48" spans="1:14" x14ac:dyDescent="0.25">
      <c r="A48" s="237">
        <v>44128</v>
      </c>
      <c r="B48" s="240">
        <v>15.3</v>
      </c>
      <c r="C48" s="239"/>
      <c r="D48" s="239"/>
      <c r="E48" s="239" t="s">
        <v>39</v>
      </c>
      <c r="F48" s="239">
        <v>50</v>
      </c>
      <c r="G48" s="238" t="s">
        <v>175</v>
      </c>
      <c r="H48" s="261">
        <v>17</v>
      </c>
      <c r="I48" s="235" t="s">
        <v>33</v>
      </c>
      <c r="J48" s="235"/>
      <c r="K48" s="235"/>
      <c r="L48" s="239"/>
      <c r="M48" s="235"/>
      <c r="N48" s="239" t="s">
        <v>72</v>
      </c>
    </row>
    <row r="49" spans="1:14" x14ac:dyDescent="0.25">
      <c r="A49" s="237">
        <v>44135</v>
      </c>
      <c r="B49" s="238">
        <v>14.15</v>
      </c>
      <c r="C49" s="731" t="s">
        <v>32</v>
      </c>
      <c r="D49" s="731"/>
      <c r="E49" s="731"/>
      <c r="F49" s="239">
        <v>10</v>
      </c>
      <c r="G49" s="238" t="s">
        <v>175</v>
      </c>
      <c r="H49" s="261">
        <v>14</v>
      </c>
      <c r="I49" s="734" t="s">
        <v>35</v>
      </c>
      <c r="J49" s="734"/>
      <c r="K49" s="734"/>
      <c r="L49" s="731" t="s">
        <v>174</v>
      </c>
      <c r="M49" s="731"/>
      <c r="N49" s="731"/>
    </row>
    <row r="50" spans="1:14" x14ac:dyDescent="0.25">
      <c r="A50" s="237">
        <v>44135</v>
      </c>
      <c r="B50" s="240">
        <v>16.45</v>
      </c>
      <c r="C50" s="731" t="s">
        <v>33</v>
      </c>
      <c r="D50" s="731"/>
      <c r="E50" s="731"/>
      <c r="F50" s="239">
        <v>5</v>
      </c>
      <c r="G50" s="238" t="s">
        <v>175</v>
      </c>
      <c r="H50" s="261">
        <v>34</v>
      </c>
      <c r="I50" s="734" t="s">
        <v>30</v>
      </c>
      <c r="J50" s="734"/>
      <c r="K50" s="734"/>
      <c r="L50" s="731" t="s">
        <v>68</v>
      </c>
      <c r="M50" s="731"/>
      <c r="N50" s="731"/>
    </row>
    <row r="51" spans="1:14" x14ac:dyDescent="0.25">
      <c r="A51" s="237">
        <v>44135</v>
      </c>
      <c r="B51" s="240">
        <v>20.100000000000001</v>
      </c>
      <c r="C51" s="731" t="s">
        <v>34</v>
      </c>
      <c r="D51" s="731"/>
      <c r="E51" s="731"/>
      <c r="F51" s="239">
        <v>35</v>
      </c>
      <c r="G51" s="238" t="s">
        <v>175</v>
      </c>
      <c r="H51" s="261">
        <v>27</v>
      </c>
      <c r="I51" s="734" t="s">
        <v>39</v>
      </c>
      <c r="J51" s="734"/>
      <c r="K51" s="734"/>
      <c r="L51" s="731" t="s">
        <v>70</v>
      </c>
      <c r="M51" s="731"/>
      <c r="N51" s="731"/>
    </row>
    <row r="52" spans="1:14" x14ac:dyDescent="0.25">
      <c r="A52" s="435"/>
      <c r="B52" s="436"/>
      <c r="C52" s="260"/>
      <c r="D52" s="260"/>
      <c r="E52" s="260"/>
      <c r="F52" s="260"/>
      <c r="G52" s="260"/>
      <c r="H52" s="289"/>
      <c r="I52" s="259"/>
      <c r="J52" s="259"/>
      <c r="K52" s="259"/>
      <c r="L52" s="260"/>
      <c r="M52" s="260"/>
      <c r="N52" s="260"/>
    </row>
    <row r="53" spans="1:14" x14ac:dyDescent="0.25">
      <c r="B53" t="s">
        <v>58</v>
      </c>
      <c r="F53" s="239">
        <v>2019</v>
      </c>
    </row>
    <row r="54" spans="1:14" x14ac:dyDescent="0.25">
      <c r="A54" s="237">
        <v>43497</v>
      </c>
      <c r="B54" s="240">
        <v>20</v>
      </c>
      <c r="C54" s="731" t="s">
        <v>34</v>
      </c>
      <c r="D54" s="731"/>
      <c r="E54" s="731"/>
      <c r="F54" s="239">
        <v>19</v>
      </c>
      <c r="G54" s="238" t="s">
        <v>175</v>
      </c>
      <c r="H54" s="261">
        <v>24</v>
      </c>
      <c r="I54" s="734" t="s">
        <v>32</v>
      </c>
      <c r="J54" s="734"/>
      <c r="K54" s="734"/>
      <c r="L54" s="731" t="s">
        <v>70</v>
      </c>
      <c r="M54" s="731"/>
      <c r="N54" s="731"/>
    </row>
    <row r="55" spans="1:14" x14ac:dyDescent="0.25">
      <c r="A55" s="237">
        <v>43498</v>
      </c>
      <c r="B55" s="240">
        <v>14.15</v>
      </c>
      <c r="C55" s="731" t="s">
        <v>35</v>
      </c>
      <c r="D55" s="731"/>
      <c r="E55" s="731"/>
      <c r="F55" s="239">
        <v>33</v>
      </c>
      <c r="G55" s="238" t="s">
        <v>175</v>
      </c>
      <c r="H55" s="261">
        <v>20</v>
      </c>
      <c r="I55" s="734" t="s">
        <v>33</v>
      </c>
      <c r="J55" s="734"/>
      <c r="K55" s="734"/>
      <c r="L55" s="731" t="s">
        <v>71</v>
      </c>
      <c r="M55" s="731"/>
      <c r="N55" s="731"/>
    </row>
    <row r="56" spans="1:14" x14ac:dyDescent="0.25">
      <c r="A56" s="237">
        <v>43498</v>
      </c>
      <c r="B56" s="240">
        <v>16.149999999999999</v>
      </c>
      <c r="C56" s="731" t="s">
        <v>39</v>
      </c>
      <c r="D56" s="731"/>
      <c r="E56" s="731"/>
      <c r="F56" s="239">
        <v>20</v>
      </c>
      <c r="G56" s="238" t="s">
        <v>175</v>
      </c>
      <c r="H56" s="261">
        <v>32</v>
      </c>
      <c r="I56" s="734" t="s">
        <v>30</v>
      </c>
      <c r="J56" s="734"/>
      <c r="K56" s="734"/>
      <c r="L56" s="731" t="s">
        <v>72</v>
      </c>
      <c r="M56" s="731"/>
      <c r="N56" s="731"/>
    </row>
    <row r="57" spans="1:14" x14ac:dyDescent="0.25">
      <c r="A57" s="237">
        <v>43505</v>
      </c>
      <c r="B57" s="238">
        <v>14.15</v>
      </c>
      <c r="C57" s="731" t="s">
        <v>35</v>
      </c>
      <c r="D57" s="731"/>
      <c r="E57" s="731"/>
      <c r="F57" s="239">
        <v>22</v>
      </c>
      <c r="G57" s="238" t="s">
        <v>175</v>
      </c>
      <c r="H57" s="261">
        <v>13</v>
      </c>
      <c r="I57" s="734" t="s">
        <v>39</v>
      </c>
      <c r="J57" s="734"/>
      <c r="K57" s="734"/>
      <c r="L57" s="731" t="s">
        <v>71</v>
      </c>
      <c r="M57" s="731"/>
      <c r="N57" s="731"/>
    </row>
    <row r="58" spans="1:14" x14ac:dyDescent="0.25">
      <c r="A58" s="237">
        <v>43505</v>
      </c>
      <c r="B58" s="240">
        <v>16.45</v>
      </c>
      <c r="C58" s="731" t="s">
        <v>33</v>
      </c>
      <c r="D58" s="731"/>
      <c r="E58" s="731"/>
      <c r="F58" s="239">
        <v>15</v>
      </c>
      <c r="G58" s="238" t="s">
        <v>175</v>
      </c>
      <c r="H58" s="261">
        <v>26</v>
      </c>
      <c r="I58" s="734" t="s">
        <v>32</v>
      </c>
      <c r="J58" s="734"/>
      <c r="K58" s="734"/>
      <c r="L58" s="731" t="s">
        <v>68</v>
      </c>
      <c r="M58" s="731"/>
      <c r="N58" s="731"/>
    </row>
    <row r="59" spans="1:14" x14ac:dyDescent="0.25">
      <c r="A59" s="237">
        <v>43506</v>
      </c>
      <c r="B59" s="240">
        <v>15</v>
      </c>
      <c r="C59" s="731" t="s">
        <v>30</v>
      </c>
      <c r="D59" s="731"/>
      <c r="E59" s="731"/>
      <c r="F59" s="239">
        <v>44</v>
      </c>
      <c r="G59" s="238" t="s">
        <v>175</v>
      </c>
      <c r="H59" s="261">
        <v>8</v>
      </c>
      <c r="I59" s="734" t="s">
        <v>34</v>
      </c>
      <c r="J59" s="734"/>
      <c r="K59" s="734"/>
      <c r="L59" s="731" t="s">
        <v>67</v>
      </c>
      <c r="M59" s="731"/>
      <c r="N59" s="731"/>
    </row>
    <row r="60" spans="1:14" x14ac:dyDescent="0.25">
      <c r="A60" s="237">
        <v>43519</v>
      </c>
      <c r="B60" s="238">
        <v>14.15</v>
      </c>
      <c r="C60" s="731" t="s">
        <v>34</v>
      </c>
      <c r="D60" s="731"/>
      <c r="E60" s="731"/>
      <c r="F60" s="239">
        <v>27</v>
      </c>
      <c r="G60" s="238" t="s">
        <v>175</v>
      </c>
      <c r="H60" s="261">
        <v>10</v>
      </c>
      <c r="I60" s="734" t="s">
        <v>35</v>
      </c>
      <c r="J60" s="734"/>
      <c r="K60" s="734"/>
      <c r="L60" s="731" t="s">
        <v>70</v>
      </c>
      <c r="M60" s="731"/>
      <c r="N60" s="731"/>
    </row>
    <row r="61" spans="1:14" x14ac:dyDescent="0.25">
      <c r="A61" s="237">
        <v>43519</v>
      </c>
      <c r="B61" s="240">
        <v>16.45</v>
      </c>
      <c r="C61" s="731" t="s">
        <v>32</v>
      </c>
      <c r="D61" s="731"/>
      <c r="E61" s="731"/>
      <c r="F61" s="239">
        <v>21</v>
      </c>
      <c r="G61" s="238" t="s">
        <v>175</v>
      </c>
      <c r="H61" s="261">
        <v>13</v>
      </c>
      <c r="I61" s="734" t="s">
        <v>30</v>
      </c>
      <c r="J61" s="734"/>
      <c r="K61" s="734"/>
      <c r="L61" s="731" t="s">
        <v>69</v>
      </c>
      <c r="M61" s="731"/>
      <c r="N61" s="731"/>
    </row>
    <row r="62" spans="1:14" x14ac:dyDescent="0.25">
      <c r="A62" s="237">
        <v>43520</v>
      </c>
      <c r="B62" s="240">
        <v>15</v>
      </c>
      <c r="C62" s="731" t="s">
        <v>33</v>
      </c>
      <c r="D62" s="731"/>
      <c r="E62" s="731"/>
      <c r="F62" s="239">
        <v>26</v>
      </c>
      <c r="G62" s="238" t="s">
        <v>175</v>
      </c>
      <c r="H62" s="261">
        <v>16</v>
      </c>
      <c r="I62" s="734" t="s">
        <v>39</v>
      </c>
      <c r="J62" s="734"/>
      <c r="K62" s="734"/>
      <c r="L62" s="731" t="s">
        <v>68</v>
      </c>
      <c r="M62" s="731"/>
      <c r="N62" s="731"/>
    </row>
    <row r="63" spans="1:14" x14ac:dyDescent="0.25">
      <c r="A63" s="237">
        <v>43533</v>
      </c>
      <c r="B63" s="238">
        <v>14.15</v>
      </c>
      <c r="C63" s="731" t="s">
        <v>35</v>
      </c>
      <c r="D63" s="731"/>
      <c r="E63" s="731"/>
      <c r="F63" s="239">
        <v>11</v>
      </c>
      <c r="G63" s="238" t="s">
        <v>175</v>
      </c>
      <c r="H63" s="261">
        <v>18</v>
      </c>
      <c r="I63" s="734" t="s">
        <v>32</v>
      </c>
      <c r="J63" s="734"/>
      <c r="K63" s="734"/>
      <c r="L63" s="731" t="s">
        <v>71</v>
      </c>
      <c r="M63" s="731"/>
      <c r="N63" s="731"/>
    </row>
    <row r="64" spans="1:14" x14ac:dyDescent="0.25">
      <c r="A64" s="237">
        <v>43533</v>
      </c>
      <c r="B64" s="240">
        <v>16.45</v>
      </c>
      <c r="C64" s="731" t="s">
        <v>30</v>
      </c>
      <c r="D64" s="731"/>
      <c r="E64" s="731"/>
      <c r="F64" s="239">
        <v>57</v>
      </c>
      <c r="G64" s="238" t="s">
        <v>175</v>
      </c>
      <c r="H64" s="261">
        <v>14</v>
      </c>
      <c r="I64" s="734" t="s">
        <v>33</v>
      </c>
      <c r="J64" s="734"/>
      <c r="K64" s="734"/>
      <c r="L64" s="731" t="s">
        <v>67</v>
      </c>
      <c r="M64" s="731"/>
      <c r="N64" s="731"/>
    </row>
    <row r="65" spans="1:14" x14ac:dyDescent="0.25">
      <c r="A65" s="237">
        <v>43534</v>
      </c>
      <c r="B65" s="240">
        <v>15</v>
      </c>
      <c r="C65" s="731" t="s">
        <v>39</v>
      </c>
      <c r="D65" s="731"/>
      <c r="E65" s="731"/>
      <c r="F65" s="239">
        <v>26</v>
      </c>
      <c r="G65" s="238" t="s">
        <v>175</v>
      </c>
      <c r="H65" s="261">
        <v>14</v>
      </c>
      <c r="I65" s="734" t="s">
        <v>34</v>
      </c>
      <c r="J65" s="734"/>
      <c r="K65" s="734"/>
      <c r="L65" s="731" t="s">
        <v>72</v>
      </c>
      <c r="M65" s="731"/>
      <c r="N65" s="731"/>
    </row>
    <row r="66" spans="1:14" x14ac:dyDescent="0.25">
      <c r="A66" s="237">
        <v>43540</v>
      </c>
      <c r="B66" s="240">
        <v>12.3</v>
      </c>
      <c r="C66" s="731" t="s">
        <v>33</v>
      </c>
      <c r="D66" s="731"/>
      <c r="E66" s="731"/>
      <c r="F66" s="239">
        <v>14</v>
      </c>
      <c r="G66" s="238" t="s">
        <v>175</v>
      </c>
      <c r="H66" s="261">
        <v>25</v>
      </c>
      <c r="I66" s="734" t="s">
        <v>34</v>
      </c>
      <c r="J66" s="734"/>
      <c r="K66" s="734"/>
      <c r="L66" s="731" t="s">
        <v>68</v>
      </c>
      <c r="M66" s="731"/>
      <c r="N66" s="731"/>
    </row>
    <row r="67" spans="1:14" x14ac:dyDescent="0.25">
      <c r="A67" s="237">
        <v>43540</v>
      </c>
      <c r="B67" s="240">
        <v>14.45</v>
      </c>
      <c r="C67" s="731" t="s">
        <v>32</v>
      </c>
      <c r="D67" s="731"/>
      <c r="E67" s="731"/>
      <c r="F67" s="239">
        <v>25</v>
      </c>
      <c r="G67" s="238" t="s">
        <v>175</v>
      </c>
      <c r="H67" s="261">
        <v>7</v>
      </c>
      <c r="I67" s="734" t="s">
        <v>39</v>
      </c>
      <c r="J67" s="734"/>
      <c r="K67" s="734"/>
      <c r="L67" s="731" t="s">
        <v>69</v>
      </c>
      <c r="M67" s="731"/>
      <c r="N67" s="731"/>
    </row>
    <row r="68" spans="1:14" x14ac:dyDescent="0.25">
      <c r="A68" s="237">
        <v>43540</v>
      </c>
      <c r="B68" s="240">
        <v>17</v>
      </c>
      <c r="C68" s="731" t="s">
        <v>30</v>
      </c>
      <c r="D68" s="731"/>
      <c r="E68" s="731"/>
      <c r="F68" s="239">
        <v>38</v>
      </c>
      <c r="G68" s="238" t="s">
        <v>175</v>
      </c>
      <c r="H68" s="261">
        <v>38</v>
      </c>
      <c r="I68" s="734" t="s">
        <v>35</v>
      </c>
      <c r="J68" s="734"/>
      <c r="K68" s="734"/>
      <c r="L68" s="731" t="s">
        <v>67</v>
      </c>
      <c r="M68" s="731"/>
      <c r="N68" s="731"/>
    </row>
    <row r="70" spans="1:14" x14ac:dyDescent="0.25">
      <c r="A70" s="735" t="s">
        <v>58</v>
      </c>
      <c r="B70" s="735"/>
      <c r="C70" s="235"/>
      <c r="D70" s="235"/>
      <c r="E70" s="235"/>
      <c r="F70" s="239">
        <v>2018</v>
      </c>
      <c r="G70" s="235"/>
      <c r="H70" s="235"/>
      <c r="I70" s="236"/>
      <c r="J70" s="236"/>
      <c r="K70" s="236"/>
      <c r="L70" s="236"/>
      <c r="M70" s="236"/>
      <c r="N70" s="236"/>
    </row>
    <row r="71" spans="1:14" x14ac:dyDescent="0.25">
      <c r="A71" s="237">
        <v>43134</v>
      </c>
      <c r="B71" s="238">
        <v>14.15</v>
      </c>
      <c r="C71" s="731" t="s">
        <v>32</v>
      </c>
      <c r="D71" s="731"/>
      <c r="E71" s="731"/>
      <c r="F71" s="239">
        <v>34</v>
      </c>
      <c r="G71" s="238" t="s">
        <v>175</v>
      </c>
      <c r="H71" s="261">
        <v>7</v>
      </c>
      <c r="I71" s="734" t="s">
        <v>35</v>
      </c>
      <c r="J71" s="734"/>
      <c r="K71" s="734"/>
      <c r="L71" s="731" t="s">
        <v>69</v>
      </c>
      <c r="M71" s="731"/>
      <c r="N71" s="731"/>
    </row>
    <row r="72" spans="1:14" x14ac:dyDescent="0.25">
      <c r="A72" s="237">
        <v>43134</v>
      </c>
      <c r="B72" s="240">
        <v>16.45</v>
      </c>
      <c r="C72" s="731" t="s">
        <v>34</v>
      </c>
      <c r="D72" s="731"/>
      <c r="E72" s="731"/>
      <c r="F72" s="239">
        <v>13</v>
      </c>
      <c r="G72" s="238" t="s">
        <v>175</v>
      </c>
      <c r="H72" s="261">
        <v>15</v>
      </c>
      <c r="I72" s="734" t="s">
        <v>39</v>
      </c>
      <c r="J72" s="734"/>
      <c r="K72" s="734"/>
      <c r="L72" s="731" t="s">
        <v>70</v>
      </c>
      <c r="M72" s="731"/>
      <c r="N72" s="731"/>
    </row>
    <row r="73" spans="1:14" x14ac:dyDescent="0.25">
      <c r="A73" s="237">
        <v>43135</v>
      </c>
      <c r="B73" s="240">
        <v>15</v>
      </c>
      <c r="C73" s="731" t="s">
        <v>33</v>
      </c>
      <c r="D73" s="731"/>
      <c r="E73" s="731"/>
      <c r="F73" s="239">
        <v>15</v>
      </c>
      <c r="G73" s="238" t="s">
        <v>175</v>
      </c>
      <c r="H73" s="261">
        <v>46</v>
      </c>
      <c r="I73" s="734" t="s">
        <v>30</v>
      </c>
      <c r="J73" s="734"/>
      <c r="K73" s="734"/>
      <c r="L73" s="731" t="s">
        <v>68</v>
      </c>
      <c r="M73" s="731"/>
      <c r="N73" s="731"/>
    </row>
    <row r="74" spans="1:14" x14ac:dyDescent="0.25">
      <c r="A74" s="237">
        <v>43141</v>
      </c>
      <c r="B74" s="238">
        <v>14.15</v>
      </c>
      <c r="C74" s="731" t="s">
        <v>39</v>
      </c>
      <c r="D74" s="731"/>
      <c r="E74" s="731"/>
      <c r="F74" s="239">
        <v>56</v>
      </c>
      <c r="G74" s="238" t="s">
        <v>175</v>
      </c>
      <c r="H74" s="261">
        <v>19</v>
      </c>
      <c r="I74" s="734" t="s">
        <v>33</v>
      </c>
      <c r="J74" s="734"/>
      <c r="K74" s="734"/>
      <c r="L74" s="731" t="s">
        <v>72</v>
      </c>
      <c r="M74" s="731"/>
      <c r="N74" s="731"/>
    </row>
    <row r="75" spans="1:14" x14ac:dyDescent="0.25">
      <c r="A75" s="237">
        <v>43141</v>
      </c>
      <c r="B75" s="240">
        <v>16.45</v>
      </c>
      <c r="C75" s="731" t="s">
        <v>30</v>
      </c>
      <c r="D75" s="731"/>
      <c r="E75" s="731"/>
      <c r="F75" s="239">
        <v>12</v>
      </c>
      <c r="G75" s="238" t="s">
        <v>175</v>
      </c>
      <c r="H75" s="261">
        <v>6</v>
      </c>
      <c r="I75" s="734" t="s">
        <v>32</v>
      </c>
      <c r="J75" s="734"/>
      <c r="K75" s="734"/>
      <c r="L75" s="731" t="s">
        <v>67</v>
      </c>
      <c r="M75" s="731"/>
      <c r="N75" s="731"/>
    </row>
    <row r="76" spans="1:14" x14ac:dyDescent="0.25">
      <c r="A76" s="237">
        <v>43142</v>
      </c>
      <c r="B76" s="240">
        <v>15</v>
      </c>
      <c r="C76" s="731" t="s">
        <v>35</v>
      </c>
      <c r="D76" s="731"/>
      <c r="E76" s="731"/>
      <c r="F76" s="239">
        <v>32</v>
      </c>
      <c r="G76" s="238" t="s">
        <v>175</v>
      </c>
      <c r="H76" s="261">
        <v>26</v>
      </c>
      <c r="I76" s="734" t="s">
        <v>34</v>
      </c>
      <c r="J76" s="734"/>
      <c r="K76" s="734"/>
      <c r="L76" s="731" t="s">
        <v>71</v>
      </c>
      <c r="M76" s="731"/>
      <c r="N76" s="731"/>
    </row>
    <row r="77" spans="1:14" x14ac:dyDescent="0.25">
      <c r="A77" s="237">
        <v>43154</v>
      </c>
      <c r="B77" s="240">
        <v>20</v>
      </c>
      <c r="C77" s="731" t="s">
        <v>34</v>
      </c>
      <c r="D77" s="731"/>
      <c r="E77" s="731"/>
      <c r="F77" s="239">
        <v>34</v>
      </c>
      <c r="G77" s="238" t="s">
        <v>175</v>
      </c>
      <c r="H77" s="261">
        <v>17</v>
      </c>
      <c r="I77" s="734" t="s">
        <v>33</v>
      </c>
      <c r="J77" s="734"/>
      <c r="K77" s="734"/>
      <c r="L77" s="731" t="s">
        <v>111</v>
      </c>
      <c r="M77" s="731"/>
      <c r="N77" s="731"/>
    </row>
    <row r="78" spans="1:14" x14ac:dyDescent="0.25">
      <c r="A78" s="237">
        <v>43155</v>
      </c>
      <c r="B78" s="240">
        <v>14.15</v>
      </c>
      <c r="C78" s="731" t="s">
        <v>39</v>
      </c>
      <c r="D78" s="731"/>
      <c r="E78" s="731"/>
      <c r="F78" s="239">
        <v>37</v>
      </c>
      <c r="G78" s="238" t="s">
        <v>175</v>
      </c>
      <c r="H78" s="261">
        <v>27</v>
      </c>
      <c r="I78" s="734" t="s">
        <v>32</v>
      </c>
      <c r="J78" s="734"/>
      <c r="K78" s="734"/>
      <c r="L78" s="731" t="s">
        <v>72</v>
      </c>
      <c r="M78" s="731"/>
      <c r="N78" s="731"/>
    </row>
    <row r="79" spans="1:14" x14ac:dyDescent="0.25">
      <c r="A79" s="237">
        <v>43155</v>
      </c>
      <c r="B79" s="240">
        <v>16.45</v>
      </c>
      <c r="C79" s="731" t="s">
        <v>35</v>
      </c>
      <c r="D79" s="731"/>
      <c r="E79" s="731"/>
      <c r="F79" s="239">
        <v>25</v>
      </c>
      <c r="G79" s="238" t="s">
        <v>175</v>
      </c>
      <c r="H79" s="261">
        <v>13</v>
      </c>
      <c r="I79" s="734" t="s">
        <v>30</v>
      </c>
      <c r="J79" s="734"/>
      <c r="K79" s="734"/>
      <c r="L79" s="731" t="s">
        <v>71</v>
      </c>
      <c r="M79" s="731"/>
      <c r="N79" s="731"/>
    </row>
    <row r="80" spans="1:14" x14ac:dyDescent="0.25">
      <c r="A80" s="237">
        <v>43169</v>
      </c>
      <c r="B80" s="238">
        <v>14.15</v>
      </c>
      <c r="C80" s="731" t="s">
        <v>39</v>
      </c>
      <c r="D80" s="731"/>
      <c r="E80" s="731"/>
      <c r="F80" s="239">
        <v>28</v>
      </c>
      <c r="G80" s="238" t="s">
        <v>175</v>
      </c>
      <c r="H80" s="261">
        <v>8</v>
      </c>
      <c r="I80" s="734" t="s">
        <v>35</v>
      </c>
      <c r="J80" s="734"/>
      <c r="K80" s="734"/>
      <c r="L80" s="731" t="s">
        <v>72</v>
      </c>
      <c r="M80" s="731"/>
      <c r="N80" s="731"/>
    </row>
    <row r="81" spans="1:14" x14ac:dyDescent="0.25">
      <c r="A81" s="237">
        <v>43169</v>
      </c>
      <c r="B81" s="240">
        <v>16.45</v>
      </c>
      <c r="C81" s="731" t="s">
        <v>34</v>
      </c>
      <c r="D81" s="731"/>
      <c r="E81" s="731"/>
      <c r="F81" s="239">
        <v>22</v>
      </c>
      <c r="G81" s="238" t="s">
        <v>175</v>
      </c>
      <c r="H81" s="261">
        <v>16</v>
      </c>
      <c r="I81" s="734" t="s">
        <v>30</v>
      </c>
      <c r="J81" s="734"/>
      <c r="K81" s="734"/>
      <c r="L81" s="731" t="s">
        <v>70</v>
      </c>
      <c r="M81" s="731"/>
      <c r="N81" s="731"/>
    </row>
    <row r="82" spans="1:14" x14ac:dyDescent="0.25">
      <c r="A82" s="237">
        <v>43170</v>
      </c>
      <c r="B82" s="240">
        <v>15</v>
      </c>
      <c r="C82" s="731" t="s">
        <v>32</v>
      </c>
      <c r="D82" s="731"/>
      <c r="E82" s="731"/>
      <c r="F82" s="239">
        <v>38</v>
      </c>
      <c r="G82" s="238" t="s">
        <v>175</v>
      </c>
      <c r="H82" s="261">
        <v>14</v>
      </c>
      <c r="I82" s="734" t="s">
        <v>33</v>
      </c>
      <c r="J82" s="734"/>
      <c r="K82" s="734"/>
      <c r="L82" s="731" t="s">
        <v>69</v>
      </c>
      <c r="M82" s="731"/>
      <c r="N82" s="731"/>
    </row>
    <row r="83" spans="1:14" x14ac:dyDescent="0.25">
      <c r="A83" s="237">
        <v>43176</v>
      </c>
      <c r="B83" s="240">
        <v>12.3</v>
      </c>
      <c r="C83" s="731" t="s">
        <v>33</v>
      </c>
      <c r="D83" s="731"/>
      <c r="E83" s="731"/>
      <c r="F83" s="239">
        <v>27</v>
      </c>
      <c r="G83" s="238" t="s">
        <v>175</v>
      </c>
      <c r="H83" s="261">
        <v>29</v>
      </c>
      <c r="I83" s="734" t="s">
        <v>35</v>
      </c>
      <c r="J83" s="734"/>
      <c r="K83" s="734"/>
      <c r="L83" s="731" t="s">
        <v>68</v>
      </c>
      <c r="M83" s="731"/>
      <c r="N83" s="731"/>
    </row>
    <row r="84" spans="1:14" x14ac:dyDescent="0.25">
      <c r="A84" s="237">
        <v>43176</v>
      </c>
      <c r="B84" s="240">
        <v>14.45</v>
      </c>
      <c r="C84" s="731" t="s">
        <v>30</v>
      </c>
      <c r="D84" s="731"/>
      <c r="E84" s="731"/>
      <c r="F84" s="239">
        <v>15</v>
      </c>
      <c r="G84" s="238" t="s">
        <v>175</v>
      </c>
      <c r="H84" s="261">
        <v>24</v>
      </c>
      <c r="I84" s="734" t="s">
        <v>39</v>
      </c>
      <c r="J84" s="734"/>
      <c r="K84" s="734"/>
      <c r="L84" s="731" t="s">
        <v>67</v>
      </c>
      <c r="M84" s="731"/>
      <c r="N84" s="731"/>
    </row>
    <row r="85" spans="1:14" x14ac:dyDescent="0.25">
      <c r="A85" s="237">
        <v>43176</v>
      </c>
      <c r="B85" s="240">
        <v>17</v>
      </c>
      <c r="C85" s="731" t="s">
        <v>32</v>
      </c>
      <c r="D85" s="731"/>
      <c r="E85" s="731"/>
      <c r="F85" s="239">
        <v>14</v>
      </c>
      <c r="G85" s="238" t="s">
        <v>175</v>
      </c>
      <c r="H85" s="261">
        <v>13</v>
      </c>
      <c r="I85" s="734" t="s">
        <v>34</v>
      </c>
      <c r="J85" s="734"/>
      <c r="K85" s="734"/>
      <c r="L85" s="731" t="s">
        <v>69</v>
      </c>
      <c r="M85" s="731"/>
      <c r="N85" s="731"/>
    </row>
    <row r="86" spans="1:14" x14ac:dyDescent="0.25">
      <c r="A86" s="234"/>
      <c r="B86" s="238" t="s">
        <v>58</v>
      </c>
      <c r="C86" s="235"/>
      <c r="D86" s="239"/>
      <c r="E86" s="235"/>
      <c r="F86" s="239"/>
      <c r="G86" s="235"/>
      <c r="H86" s="261"/>
      <c r="I86" s="235"/>
      <c r="J86" s="235"/>
      <c r="K86" s="235"/>
      <c r="L86" s="235"/>
      <c r="M86" s="235"/>
      <c r="N86" s="235"/>
    </row>
    <row r="87" spans="1:14" x14ac:dyDescent="0.25">
      <c r="F87" s="328"/>
    </row>
    <row r="88" spans="1:14" x14ac:dyDescent="0.25">
      <c r="A88" s="735" t="s">
        <v>58</v>
      </c>
      <c r="B88" s="735"/>
      <c r="C88" s="235"/>
      <c r="D88" s="235"/>
      <c r="E88" s="235"/>
      <c r="F88" s="239">
        <v>2017</v>
      </c>
      <c r="G88" s="235"/>
      <c r="H88" s="235"/>
      <c r="I88" s="236"/>
      <c r="J88" s="236"/>
      <c r="K88" s="236"/>
      <c r="L88" s="236"/>
      <c r="M88" s="236"/>
      <c r="N88" s="236"/>
    </row>
    <row r="89" spans="1:14" x14ac:dyDescent="0.25">
      <c r="A89" s="237">
        <v>42770</v>
      </c>
      <c r="B89" s="238">
        <v>14.25</v>
      </c>
      <c r="C89" s="731" t="s">
        <v>35</v>
      </c>
      <c r="D89" s="731"/>
      <c r="E89" s="731"/>
      <c r="F89" s="239">
        <v>22</v>
      </c>
      <c r="G89" s="238" t="s">
        <v>175</v>
      </c>
      <c r="H89" s="261">
        <v>27</v>
      </c>
      <c r="I89" s="734" t="s">
        <v>39</v>
      </c>
      <c r="J89" s="734"/>
      <c r="K89" s="734"/>
      <c r="L89" s="731" t="s">
        <v>66</v>
      </c>
      <c r="M89" s="731"/>
      <c r="N89" s="731"/>
    </row>
    <row r="90" spans="1:14" x14ac:dyDescent="0.25">
      <c r="A90" s="237">
        <v>42770</v>
      </c>
      <c r="B90" s="240">
        <v>16.5</v>
      </c>
      <c r="C90" s="731" t="s">
        <v>30</v>
      </c>
      <c r="D90" s="731"/>
      <c r="E90" s="731"/>
      <c r="F90" s="239">
        <v>19</v>
      </c>
      <c r="G90" s="238" t="s">
        <v>175</v>
      </c>
      <c r="H90" s="261">
        <v>16</v>
      </c>
      <c r="I90" s="734" t="s">
        <v>34</v>
      </c>
      <c r="J90" s="734"/>
      <c r="K90" s="734"/>
      <c r="L90" s="731" t="s">
        <v>67</v>
      </c>
      <c r="M90" s="731"/>
      <c r="N90" s="731"/>
    </row>
    <row r="91" spans="1:14" x14ac:dyDescent="0.25">
      <c r="A91" s="237">
        <v>42771</v>
      </c>
      <c r="B91" s="240">
        <v>14</v>
      </c>
      <c r="C91" s="731" t="s">
        <v>33</v>
      </c>
      <c r="D91" s="731"/>
      <c r="E91" s="731"/>
      <c r="F91" s="239">
        <v>7</v>
      </c>
      <c r="G91" s="238" t="s">
        <v>175</v>
      </c>
      <c r="H91" s="261">
        <v>33</v>
      </c>
      <c r="I91" s="734" t="s">
        <v>32</v>
      </c>
      <c r="J91" s="734"/>
      <c r="K91" s="734"/>
      <c r="L91" s="731" t="s">
        <v>68</v>
      </c>
      <c r="M91" s="731"/>
      <c r="N91" s="731"/>
    </row>
    <row r="92" spans="1:14" x14ac:dyDescent="0.25">
      <c r="A92" s="237">
        <v>42777</v>
      </c>
      <c r="B92" s="240">
        <v>14.25</v>
      </c>
      <c r="C92" s="731" t="s">
        <v>33</v>
      </c>
      <c r="D92" s="731"/>
      <c r="E92" s="731"/>
      <c r="F92" s="239">
        <v>10</v>
      </c>
      <c r="G92" s="238" t="s">
        <v>175</v>
      </c>
      <c r="H92" s="261">
        <v>63</v>
      </c>
      <c r="I92" s="734" t="s">
        <v>39</v>
      </c>
      <c r="J92" s="734"/>
      <c r="K92" s="734"/>
      <c r="L92" s="731" t="s">
        <v>68</v>
      </c>
      <c r="M92" s="731"/>
      <c r="N92" s="731"/>
    </row>
    <row r="93" spans="1:14" x14ac:dyDescent="0.25">
      <c r="A93" s="237">
        <v>42777</v>
      </c>
      <c r="B93" s="240">
        <v>16.5</v>
      </c>
      <c r="C93" s="731" t="s">
        <v>32</v>
      </c>
      <c r="D93" s="731"/>
      <c r="E93" s="731"/>
      <c r="F93" s="239">
        <v>16</v>
      </c>
      <c r="G93" s="238" t="s">
        <v>175</v>
      </c>
      <c r="H93" s="261">
        <v>21</v>
      </c>
      <c r="I93" s="734" t="s">
        <v>30</v>
      </c>
      <c r="J93" s="734"/>
      <c r="K93" s="734"/>
      <c r="L93" s="731" t="s">
        <v>69</v>
      </c>
      <c r="M93" s="731"/>
      <c r="N93" s="731"/>
    </row>
    <row r="94" spans="1:14" x14ac:dyDescent="0.25">
      <c r="A94" s="237">
        <v>42778</v>
      </c>
      <c r="B94" s="240">
        <v>15</v>
      </c>
      <c r="C94" s="731" t="s">
        <v>34</v>
      </c>
      <c r="D94" s="731"/>
      <c r="E94" s="731"/>
      <c r="F94" s="239">
        <v>22</v>
      </c>
      <c r="G94" s="238" t="s">
        <v>175</v>
      </c>
      <c r="H94" s="261">
        <v>16</v>
      </c>
      <c r="I94" s="734" t="s">
        <v>35</v>
      </c>
      <c r="J94" s="734"/>
      <c r="K94" s="734"/>
      <c r="L94" s="731" t="s">
        <v>70</v>
      </c>
      <c r="M94" s="731"/>
      <c r="N94" s="731"/>
    </row>
    <row r="95" spans="1:14" x14ac:dyDescent="0.25">
      <c r="A95" s="237">
        <v>42791</v>
      </c>
      <c r="B95" s="240">
        <v>14.25</v>
      </c>
      <c r="C95" s="731" t="s">
        <v>35</v>
      </c>
      <c r="D95" s="731"/>
      <c r="E95" s="731"/>
      <c r="F95" s="239">
        <v>29</v>
      </c>
      <c r="G95" s="238" t="s">
        <v>175</v>
      </c>
      <c r="H95" s="261">
        <v>13</v>
      </c>
      <c r="I95" s="734" t="s">
        <v>32</v>
      </c>
      <c r="J95" s="734"/>
      <c r="K95" s="734"/>
      <c r="L95" s="731" t="s">
        <v>71</v>
      </c>
      <c r="M95" s="731"/>
      <c r="N95" s="731"/>
    </row>
    <row r="96" spans="1:14" x14ac:dyDescent="0.25">
      <c r="A96" s="237">
        <v>42791</v>
      </c>
      <c r="B96" s="240">
        <v>16.5</v>
      </c>
      <c r="C96" s="731" t="s">
        <v>39</v>
      </c>
      <c r="D96" s="731"/>
      <c r="E96" s="731"/>
      <c r="F96" s="239">
        <v>19</v>
      </c>
      <c r="G96" s="238" t="s">
        <v>175</v>
      </c>
      <c r="H96" s="261">
        <v>9</v>
      </c>
      <c r="I96" s="734" t="s">
        <v>34</v>
      </c>
      <c r="J96" s="734"/>
      <c r="K96" s="734"/>
      <c r="L96" s="731" t="s">
        <v>72</v>
      </c>
      <c r="M96" s="731"/>
      <c r="N96" s="731"/>
    </row>
    <row r="97" spans="1:14" x14ac:dyDescent="0.25">
      <c r="A97" s="237">
        <v>42792</v>
      </c>
      <c r="B97" s="240">
        <v>15</v>
      </c>
      <c r="C97" s="731" t="s">
        <v>30</v>
      </c>
      <c r="D97" s="731"/>
      <c r="E97" s="731"/>
      <c r="F97" s="239">
        <v>36</v>
      </c>
      <c r="G97" s="238" t="s">
        <v>175</v>
      </c>
      <c r="H97" s="261">
        <v>15</v>
      </c>
      <c r="I97" s="734" t="s">
        <v>33</v>
      </c>
      <c r="J97" s="734"/>
      <c r="K97" s="734"/>
      <c r="L97" s="731" t="s">
        <v>67</v>
      </c>
      <c r="M97" s="731"/>
      <c r="N97" s="731"/>
    </row>
    <row r="98" spans="1:14" x14ac:dyDescent="0.25">
      <c r="A98" s="237">
        <v>42804</v>
      </c>
      <c r="B98" s="240">
        <v>20</v>
      </c>
      <c r="C98" s="731" t="s">
        <v>32</v>
      </c>
      <c r="D98" s="731"/>
      <c r="E98" s="731"/>
      <c r="F98" s="239">
        <v>22</v>
      </c>
      <c r="G98" s="238" t="s">
        <v>175</v>
      </c>
      <c r="H98" s="261">
        <v>9</v>
      </c>
      <c r="I98" s="734" t="s">
        <v>39</v>
      </c>
      <c r="J98" s="734"/>
      <c r="K98" s="734"/>
      <c r="L98" s="731" t="s">
        <v>69</v>
      </c>
      <c r="M98" s="731"/>
      <c r="N98" s="731"/>
    </row>
    <row r="99" spans="1:14" x14ac:dyDescent="0.25">
      <c r="A99" s="237">
        <v>42805</v>
      </c>
      <c r="B99" s="240">
        <v>13.3</v>
      </c>
      <c r="C99" s="731" t="s">
        <v>33</v>
      </c>
      <c r="D99" s="731"/>
      <c r="E99" s="731"/>
      <c r="F99" s="239">
        <v>18</v>
      </c>
      <c r="G99" s="238" t="s">
        <v>175</v>
      </c>
      <c r="H99" s="261">
        <v>40</v>
      </c>
      <c r="I99" s="734" t="s">
        <v>34</v>
      </c>
      <c r="J99" s="734"/>
      <c r="K99" s="734"/>
      <c r="L99" s="731" t="s">
        <v>68</v>
      </c>
      <c r="M99" s="731"/>
      <c r="N99" s="731"/>
    </row>
    <row r="100" spans="1:14" x14ac:dyDescent="0.25">
      <c r="A100" s="237">
        <v>42805</v>
      </c>
      <c r="B100" s="240">
        <v>16</v>
      </c>
      <c r="C100" s="731" t="s">
        <v>30</v>
      </c>
      <c r="D100" s="731"/>
      <c r="E100" s="731"/>
      <c r="F100" s="239">
        <v>61</v>
      </c>
      <c r="G100" s="238" t="s">
        <v>175</v>
      </c>
      <c r="H100" s="261">
        <v>21</v>
      </c>
      <c r="I100" s="734" t="s">
        <v>35</v>
      </c>
      <c r="J100" s="734"/>
      <c r="K100" s="734"/>
      <c r="L100" s="731" t="s">
        <v>67</v>
      </c>
      <c r="M100" s="731"/>
      <c r="N100" s="731"/>
    </row>
    <row r="101" spans="1:14" x14ac:dyDescent="0.25">
      <c r="A101" s="237">
        <v>42812</v>
      </c>
      <c r="B101" s="240">
        <v>12.3</v>
      </c>
      <c r="C101" s="731" t="s">
        <v>35</v>
      </c>
      <c r="D101" s="731"/>
      <c r="E101" s="731"/>
      <c r="F101" s="239">
        <v>29</v>
      </c>
      <c r="G101" s="238" t="s">
        <v>175</v>
      </c>
      <c r="H101" s="261">
        <v>0</v>
      </c>
      <c r="I101" s="734" t="s">
        <v>33</v>
      </c>
      <c r="J101" s="734"/>
      <c r="K101" s="734"/>
      <c r="L101" s="731" t="s">
        <v>66</v>
      </c>
      <c r="M101" s="731"/>
      <c r="N101" s="731"/>
    </row>
    <row r="102" spans="1:14" x14ac:dyDescent="0.25">
      <c r="A102" s="237">
        <v>42812</v>
      </c>
      <c r="B102" s="240">
        <v>14.45</v>
      </c>
      <c r="C102" s="731" t="s">
        <v>34</v>
      </c>
      <c r="D102" s="731"/>
      <c r="E102" s="731"/>
      <c r="F102" s="239">
        <v>20</v>
      </c>
      <c r="G102" s="238" t="s">
        <v>175</v>
      </c>
      <c r="H102" s="261">
        <v>18</v>
      </c>
      <c r="I102" s="734" t="s">
        <v>32</v>
      </c>
      <c r="J102" s="734"/>
      <c r="K102" s="734"/>
      <c r="L102" s="731" t="s">
        <v>70</v>
      </c>
      <c r="M102" s="731"/>
      <c r="N102" s="731"/>
    </row>
    <row r="103" spans="1:14" x14ac:dyDescent="0.25">
      <c r="A103" s="237">
        <v>42812</v>
      </c>
      <c r="B103" s="240">
        <v>17</v>
      </c>
      <c r="C103" s="731" t="s">
        <v>39</v>
      </c>
      <c r="D103" s="731"/>
      <c r="E103" s="731"/>
      <c r="F103" s="239">
        <v>13</v>
      </c>
      <c r="G103" s="238" t="s">
        <v>175</v>
      </c>
      <c r="H103" s="261">
        <v>9</v>
      </c>
      <c r="I103" s="734" t="s">
        <v>30</v>
      </c>
      <c r="J103" s="734"/>
      <c r="K103" s="734"/>
      <c r="L103" s="731" t="s">
        <v>72</v>
      </c>
      <c r="M103" s="731"/>
      <c r="N103" s="731"/>
    </row>
    <row r="104" spans="1:14" x14ac:dyDescent="0.25">
      <c r="A104" s="234"/>
      <c r="B104" s="238" t="s">
        <v>58</v>
      </c>
      <c r="C104" s="235"/>
      <c r="D104" s="239"/>
      <c r="E104" s="235"/>
      <c r="F104" s="239"/>
      <c r="G104" s="329"/>
      <c r="H104" s="261"/>
      <c r="I104" s="235"/>
      <c r="J104" s="235"/>
      <c r="K104" s="235"/>
      <c r="L104" s="235"/>
      <c r="M104" s="235"/>
      <c r="N104" s="235"/>
    </row>
    <row r="105" spans="1:14" x14ac:dyDescent="0.25">
      <c r="F105" s="328"/>
      <c r="G105" s="330"/>
      <c r="H105" s="262"/>
    </row>
    <row r="106" spans="1:14" x14ac:dyDescent="0.25">
      <c r="A106" s="735"/>
      <c r="B106" s="735"/>
      <c r="C106" s="235"/>
      <c r="D106" s="235"/>
      <c r="E106" s="235"/>
      <c r="F106" s="239">
        <v>2016</v>
      </c>
      <c r="G106" s="329"/>
      <c r="H106" s="261"/>
      <c r="I106" s="236"/>
      <c r="J106" s="236"/>
      <c r="K106" s="236"/>
      <c r="L106" s="236"/>
      <c r="M106" s="236"/>
      <c r="N106" s="236"/>
    </row>
    <row r="107" spans="1:14" x14ac:dyDescent="0.25">
      <c r="A107" s="237">
        <v>42406</v>
      </c>
      <c r="B107" s="240">
        <v>14.25</v>
      </c>
      <c r="C107" s="731" t="s">
        <v>34</v>
      </c>
      <c r="D107" s="731"/>
      <c r="E107" s="731"/>
      <c r="F107" s="239">
        <v>23</v>
      </c>
      <c r="G107" s="238" t="s">
        <v>175</v>
      </c>
      <c r="H107" s="261">
        <v>21</v>
      </c>
      <c r="I107" s="734" t="s">
        <v>33</v>
      </c>
      <c r="J107" s="734"/>
      <c r="K107" s="734"/>
      <c r="L107" s="731" t="s">
        <v>70</v>
      </c>
      <c r="M107" s="731"/>
      <c r="N107" s="731"/>
    </row>
    <row r="108" spans="1:14" x14ac:dyDescent="0.25">
      <c r="A108" s="237">
        <v>42406</v>
      </c>
      <c r="B108" s="240">
        <v>16.5</v>
      </c>
      <c r="C108" s="731" t="s">
        <v>35</v>
      </c>
      <c r="D108" s="731"/>
      <c r="E108" s="731"/>
      <c r="F108" s="239">
        <v>9</v>
      </c>
      <c r="G108" s="238" t="s">
        <v>175</v>
      </c>
      <c r="H108" s="261">
        <v>15</v>
      </c>
      <c r="I108" s="734" t="s">
        <v>30</v>
      </c>
      <c r="J108" s="734"/>
      <c r="K108" s="734"/>
      <c r="L108" s="731" t="s">
        <v>66</v>
      </c>
      <c r="M108" s="731"/>
      <c r="N108" s="731"/>
    </row>
    <row r="109" spans="1:14" x14ac:dyDescent="0.25">
      <c r="A109" s="237">
        <v>42407</v>
      </c>
      <c r="B109" s="240">
        <v>15</v>
      </c>
      <c r="C109" s="731" t="s">
        <v>39</v>
      </c>
      <c r="D109" s="731"/>
      <c r="E109" s="731"/>
      <c r="F109" s="239">
        <v>16</v>
      </c>
      <c r="G109" s="238" t="s">
        <v>175</v>
      </c>
      <c r="H109" s="261">
        <v>16</v>
      </c>
      <c r="I109" s="734" t="s">
        <v>32</v>
      </c>
      <c r="J109" s="734"/>
      <c r="K109" s="734"/>
      <c r="L109" s="731" t="s">
        <v>72</v>
      </c>
      <c r="M109" s="731"/>
      <c r="N109" s="731"/>
    </row>
    <row r="110" spans="1:14" x14ac:dyDescent="0.25">
      <c r="A110" s="237">
        <v>42413</v>
      </c>
      <c r="B110" s="240">
        <v>14.25</v>
      </c>
      <c r="C110" s="731" t="s">
        <v>34</v>
      </c>
      <c r="D110" s="731"/>
      <c r="E110" s="731"/>
      <c r="F110" s="239" t="s">
        <v>73</v>
      </c>
      <c r="G110" s="238" t="s">
        <v>175</v>
      </c>
      <c r="H110" s="261" t="s">
        <v>74</v>
      </c>
      <c r="I110" s="734" t="s">
        <v>39</v>
      </c>
      <c r="J110" s="734"/>
      <c r="K110" s="734"/>
      <c r="L110" s="731" t="s">
        <v>70</v>
      </c>
      <c r="M110" s="731"/>
      <c r="N110" s="731"/>
    </row>
    <row r="111" spans="1:14" x14ac:dyDescent="0.25">
      <c r="A111" s="237">
        <v>42413</v>
      </c>
      <c r="B111" s="240">
        <v>16.5</v>
      </c>
      <c r="C111" s="731" t="s">
        <v>32</v>
      </c>
      <c r="D111" s="731"/>
      <c r="E111" s="731"/>
      <c r="F111" s="239" t="s">
        <v>75</v>
      </c>
      <c r="G111" s="238" t="s">
        <v>175</v>
      </c>
      <c r="H111" s="261" t="s">
        <v>76</v>
      </c>
      <c r="I111" s="734" t="s">
        <v>35</v>
      </c>
      <c r="J111" s="734"/>
      <c r="K111" s="734"/>
      <c r="L111" s="731" t="s">
        <v>69</v>
      </c>
      <c r="M111" s="731"/>
      <c r="N111" s="731"/>
    </row>
    <row r="112" spans="1:14" x14ac:dyDescent="0.25">
      <c r="A112" s="237">
        <v>42414</v>
      </c>
      <c r="B112" s="240">
        <v>14</v>
      </c>
      <c r="C112" s="731" t="s">
        <v>33</v>
      </c>
      <c r="D112" s="731"/>
      <c r="E112" s="731"/>
      <c r="F112" s="239" t="s">
        <v>74</v>
      </c>
      <c r="G112" s="238" t="s">
        <v>175</v>
      </c>
      <c r="H112" s="261" t="s">
        <v>77</v>
      </c>
      <c r="I112" s="734" t="s">
        <v>30</v>
      </c>
      <c r="J112" s="734"/>
      <c r="K112" s="734"/>
      <c r="L112" s="731" t="s">
        <v>68</v>
      </c>
      <c r="M112" s="731"/>
      <c r="N112" s="731"/>
    </row>
    <row r="113" spans="1:19" x14ac:dyDescent="0.25">
      <c r="A113" s="237">
        <v>42426</v>
      </c>
      <c r="B113" s="240">
        <v>20.05</v>
      </c>
      <c r="C113" s="731" t="s">
        <v>32</v>
      </c>
      <c r="D113" s="731"/>
      <c r="E113" s="731"/>
      <c r="F113" s="239" t="s">
        <v>78</v>
      </c>
      <c r="G113" s="238" t="s">
        <v>175</v>
      </c>
      <c r="H113" s="261" t="s">
        <v>79</v>
      </c>
      <c r="I113" s="734" t="s">
        <v>34</v>
      </c>
      <c r="J113" s="734"/>
      <c r="K113" s="734"/>
      <c r="L113" s="731" t="s">
        <v>69</v>
      </c>
      <c r="M113" s="731"/>
      <c r="N113" s="731"/>
    </row>
    <row r="114" spans="1:19" x14ac:dyDescent="0.25">
      <c r="A114" s="237">
        <v>42427</v>
      </c>
      <c r="B114" s="240">
        <v>14.25</v>
      </c>
      <c r="C114" s="731" t="s">
        <v>33</v>
      </c>
      <c r="D114" s="731"/>
      <c r="E114" s="731"/>
      <c r="F114" s="239" t="s">
        <v>80</v>
      </c>
      <c r="G114" s="238" t="s">
        <v>175</v>
      </c>
      <c r="H114" s="261" t="s">
        <v>81</v>
      </c>
      <c r="I114" s="734" t="s">
        <v>35</v>
      </c>
      <c r="J114" s="734"/>
      <c r="K114" s="734"/>
      <c r="L114" s="731" t="s">
        <v>68</v>
      </c>
      <c r="M114" s="731"/>
      <c r="N114" s="731"/>
    </row>
    <row r="115" spans="1:19" x14ac:dyDescent="0.25">
      <c r="A115" s="237">
        <v>42427</v>
      </c>
      <c r="B115" s="240">
        <v>16.5</v>
      </c>
      <c r="C115" s="731" t="s">
        <v>30</v>
      </c>
      <c r="D115" s="731"/>
      <c r="E115" s="731"/>
      <c r="F115" s="239" t="s">
        <v>82</v>
      </c>
      <c r="G115" s="238" t="s">
        <v>175</v>
      </c>
      <c r="H115" s="261" t="s">
        <v>79</v>
      </c>
      <c r="I115" s="734" t="s">
        <v>39</v>
      </c>
      <c r="J115" s="734"/>
      <c r="K115" s="734"/>
      <c r="L115" s="731" t="s">
        <v>67</v>
      </c>
      <c r="M115" s="731"/>
      <c r="N115" s="731"/>
    </row>
    <row r="116" spans="1:19" x14ac:dyDescent="0.25">
      <c r="A116" s="237">
        <v>42441</v>
      </c>
      <c r="B116" s="240">
        <v>13.3</v>
      </c>
      <c r="C116" s="731" t="s">
        <v>39</v>
      </c>
      <c r="D116" s="731"/>
      <c r="E116" s="731"/>
      <c r="F116" s="239" t="s">
        <v>83</v>
      </c>
      <c r="G116" s="238" t="s">
        <v>175</v>
      </c>
      <c r="H116" s="261" t="s">
        <v>84</v>
      </c>
      <c r="I116" s="734" t="s">
        <v>33</v>
      </c>
      <c r="J116" s="734"/>
      <c r="K116" s="734"/>
      <c r="L116" s="731" t="s">
        <v>72</v>
      </c>
      <c r="M116" s="731"/>
      <c r="N116" s="731"/>
    </row>
    <row r="117" spans="1:19" x14ac:dyDescent="0.25">
      <c r="A117" s="237">
        <v>42441</v>
      </c>
      <c r="B117" s="240">
        <v>16</v>
      </c>
      <c r="C117" s="731" t="s">
        <v>30</v>
      </c>
      <c r="D117" s="731"/>
      <c r="E117" s="731"/>
      <c r="F117" s="239" t="s">
        <v>85</v>
      </c>
      <c r="G117" s="238" t="s">
        <v>175</v>
      </c>
      <c r="H117" s="261" t="s">
        <v>82</v>
      </c>
      <c r="I117" s="734" t="s">
        <v>32</v>
      </c>
      <c r="J117" s="734"/>
      <c r="K117" s="734"/>
      <c r="L117" s="731" t="s">
        <v>67</v>
      </c>
      <c r="M117" s="731"/>
      <c r="N117" s="731"/>
    </row>
    <row r="118" spans="1:19" x14ac:dyDescent="0.25">
      <c r="A118" s="237">
        <v>42442</v>
      </c>
      <c r="B118" s="240">
        <v>15</v>
      </c>
      <c r="C118" s="731" t="s">
        <v>35</v>
      </c>
      <c r="D118" s="731"/>
      <c r="E118" s="731"/>
      <c r="F118" s="239" t="s">
        <v>86</v>
      </c>
      <c r="G118" s="238" t="s">
        <v>175</v>
      </c>
      <c r="H118" s="261" t="s">
        <v>87</v>
      </c>
      <c r="I118" s="734" t="s">
        <v>34</v>
      </c>
      <c r="J118" s="734"/>
      <c r="K118" s="734"/>
      <c r="L118" s="731" t="s">
        <v>66</v>
      </c>
      <c r="M118" s="731"/>
      <c r="N118" s="731"/>
    </row>
    <row r="119" spans="1:19" x14ac:dyDescent="0.25">
      <c r="A119" s="237">
        <v>42448</v>
      </c>
      <c r="B119" s="240">
        <v>14.3</v>
      </c>
      <c r="C119" s="731" t="s">
        <v>32</v>
      </c>
      <c r="D119" s="731"/>
      <c r="E119" s="731"/>
      <c r="F119" s="239" t="s">
        <v>88</v>
      </c>
      <c r="G119" s="238" t="s">
        <v>175</v>
      </c>
      <c r="H119" s="261" t="s">
        <v>89</v>
      </c>
      <c r="I119" s="734" t="s">
        <v>33</v>
      </c>
      <c r="J119" s="734"/>
      <c r="K119" s="734"/>
      <c r="L119" s="731" t="s">
        <v>69</v>
      </c>
      <c r="M119" s="731"/>
      <c r="N119" s="731"/>
    </row>
    <row r="120" spans="1:19" x14ac:dyDescent="0.25">
      <c r="A120" s="237">
        <v>42448</v>
      </c>
      <c r="B120" s="240">
        <v>17</v>
      </c>
      <c r="C120" s="731" t="s">
        <v>39</v>
      </c>
      <c r="D120" s="731"/>
      <c r="E120" s="731"/>
      <c r="F120" s="239" t="s">
        <v>90</v>
      </c>
      <c r="G120" s="238" t="s">
        <v>175</v>
      </c>
      <c r="H120" s="261" t="s">
        <v>85</v>
      </c>
      <c r="I120" s="734" t="s">
        <v>35</v>
      </c>
      <c r="J120" s="734"/>
      <c r="K120" s="734"/>
      <c r="L120" s="731" t="s">
        <v>72</v>
      </c>
      <c r="M120" s="731"/>
      <c r="N120" s="731"/>
    </row>
    <row r="121" spans="1:19" x14ac:dyDescent="0.25">
      <c r="A121" s="237">
        <v>42448</v>
      </c>
      <c r="B121" s="240">
        <v>20</v>
      </c>
      <c r="C121" s="731" t="s">
        <v>34</v>
      </c>
      <c r="D121" s="731"/>
      <c r="E121" s="731"/>
      <c r="F121" s="239" t="s">
        <v>82</v>
      </c>
      <c r="G121" s="238" t="s">
        <v>175</v>
      </c>
      <c r="H121" s="261">
        <v>31</v>
      </c>
      <c r="I121" s="734" t="s">
        <v>30</v>
      </c>
      <c r="J121" s="734"/>
      <c r="K121" s="734"/>
      <c r="L121" s="731" t="s">
        <v>70</v>
      </c>
      <c r="M121" s="731"/>
      <c r="N121" s="731"/>
    </row>
    <row r="122" spans="1:19" x14ac:dyDescent="0.25">
      <c r="A122" s="257"/>
      <c r="B122" s="258" t="s">
        <v>58</v>
      </c>
      <c r="C122" s="259"/>
      <c r="D122" s="260"/>
      <c r="E122" s="259"/>
      <c r="F122" s="260"/>
      <c r="G122" s="331"/>
      <c r="H122" s="259"/>
      <c r="I122" s="259"/>
      <c r="J122" s="259"/>
      <c r="K122" s="259"/>
      <c r="L122" s="259"/>
      <c r="M122" s="259"/>
      <c r="N122" s="259"/>
      <c r="O122" s="241"/>
      <c r="P122" s="736"/>
      <c r="Q122" s="736"/>
      <c r="R122" s="241"/>
      <c r="S122" s="241"/>
    </row>
    <row r="123" spans="1:19" x14ac:dyDescent="0.25">
      <c r="A123" s="735"/>
      <c r="B123" s="735"/>
      <c r="C123" s="235"/>
      <c r="D123" s="235"/>
      <c r="E123" s="235"/>
      <c r="F123" s="239">
        <v>2015</v>
      </c>
      <c r="G123" s="329"/>
      <c r="H123" s="235"/>
      <c r="I123" s="236"/>
      <c r="J123" s="236"/>
      <c r="K123" s="236"/>
      <c r="L123" s="236"/>
      <c r="M123" s="236"/>
      <c r="N123" s="236"/>
      <c r="O123" s="241"/>
      <c r="P123" s="241"/>
      <c r="Q123" s="241"/>
      <c r="R123" s="241"/>
      <c r="S123" s="241"/>
    </row>
    <row r="124" spans="1:19" x14ac:dyDescent="0.25">
      <c r="A124" s="237">
        <v>42041</v>
      </c>
      <c r="B124" s="240">
        <v>20.05</v>
      </c>
      <c r="C124" s="731"/>
      <c r="D124" s="731"/>
      <c r="E124" s="238" t="s">
        <v>32</v>
      </c>
      <c r="F124" s="239">
        <v>16</v>
      </c>
      <c r="G124" s="238" t="s">
        <v>175</v>
      </c>
      <c r="H124" s="261">
        <v>21</v>
      </c>
      <c r="I124" s="734" t="s">
        <v>30</v>
      </c>
      <c r="J124" s="734"/>
      <c r="K124" s="734"/>
      <c r="L124" s="734"/>
      <c r="M124" s="261" t="s">
        <v>91</v>
      </c>
      <c r="N124" s="261"/>
      <c r="O124" s="289"/>
      <c r="P124" s="737"/>
      <c r="Q124" s="737"/>
      <c r="R124" s="737"/>
    </row>
    <row r="125" spans="1:19" x14ac:dyDescent="0.25">
      <c r="A125" s="237">
        <v>42042</v>
      </c>
      <c r="B125" s="240">
        <v>14.3</v>
      </c>
      <c r="C125" s="731"/>
      <c r="D125" s="731"/>
      <c r="E125" s="238" t="s">
        <v>33</v>
      </c>
      <c r="F125" s="239">
        <v>3</v>
      </c>
      <c r="G125" s="238" t="s">
        <v>175</v>
      </c>
      <c r="H125" s="261">
        <v>26</v>
      </c>
      <c r="I125" s="734" t="s">
        <v>39</v>
      </c>
      <c r="J125" s="734"/>
      <c r="K125" s="734"/>
      <c r="L125" s="734"/>
      <c r="M125" s="261" t="s">
        <v>68</v>
      </c>
      <c r="N125" s="261"/>
      <c r="O125" s="289"/>
      <c r="P125" s="737"/>
      <c r="Q125" s="737"/>
      <c r="R125" s="737"/>
    </row>
    <row r="126" spans="1:19" x14ac:dyDescent="0.25">
      <c r="A126" s="237">
        <v>42042</v>
      </c>
      <c r="B126" s="240">
        <v>17</v>
      </c>
      <c r="C126" s="731"/>
      <c r="D126" s="731"/>
      <c r="E126" s="238" t="s">
        <v>34</v>
      </c>
      <c r="F126" s="239">
        <v>15</v>
      </c>
      <c r="G126" s="238" t="s">
        <v>175</v>
      </c>
      <c r="H126" s="261">
        <v>8</v>
      </c>
      <c r="I126" s="734" t="s">
        <v>35</v>
      </c>
      <c r="J126" s="734"/>
      <c r="K126" s="734"/>
      <c r="L126" s="734"/>
      <c r="M126" s="261" t="s">
        <v>70</v>
      </c>
      <c r="N126" s="261"/>
      <c r="O126" s="289"/>
      <c r="P126" s="737"/>
      <c r="Q126" s="737"/>
      <c r="R126" s="737"/>
    </row>
    <row r="127" spans="1:19" x14ac:dyDescent="0.25">
      <c r="A127" s="237">
        <v>42049</v>
      </c>
      <c r="B127" s="240">
        <v>14.3</v>
      </c>
      <c r="C127" s="731"/>
      <c r="D127" s="731"/>
      <c r="E127" s="238" t="s">
        <v>30</v>
      </c>
      <c r="F127" s="239">
        <v>47</v>
      </c>
      <c r="G127" s="238" t="s">
        <v>175</v>
      </c>
      <c r="H127" s="261">
        <v>17</v>
      </c>
      <c r="I127" s="734" t="s">
        <v>33</v>
      </c>
      <c r="J127" s="734"/>
      <c r="K127" s="734"/>
      <c r="L127" s="734"/>
      <c r="M127" s="261" t="s">
        <v>67</v>
      </c>
      <c r="N127" s="261"/>
      <c r="O127" s="289"/>
      <c r="P127" s="737"/>
      <c r="Q127" s="737"/>
      <c r="R127" s="737"/>
    </row>
    <row r="128" spans="1:19" x14ac:dyDescent="0.25">
      <c r="A128" s="237">
        <v>42049</v>
      </c>
      <c r="B128" s="240">
        <v>17</v>
      </c>
      <c r="C128" s="731"/>
      <c r="D128" s="731"/>
      <c r="E128" s="238" t="s">
        <v>39</v>
      </c>
      <c r="F128" s="239">
        <v>18</v>
      </c>
      <c r="G128" s="238" t="s">
        <v>175</v>
      </c>
      <c r="H128" s="261">
        <v>11</v>
      </c>
      <c r="I128" s="734" t="s">
        <v>34</v>
      </c>
      <c r="J128" s="734"/>
      <c r="K128" s="734"/>
      <c r="L128" s="734"/>
      <c r="M128" s="261" t="s">
        <v>72</v>
      </c>
      <c r="N128" s="261"/>
      <c r="O128" s="289"/>
      <c r="P128" s="737"/>
      <c r="Q128" s="737"/>
      <c r="R128" s="737"/>
    </row>
    <row r="129" spans="1:18" x14ac:dyDescent="0.25">
      <c r="A129" s="237">
        <v>42050</v>
      </c>
      <c r="B129" s="240">
        <v>15</v>
      </c>
      <c r="C129" s="731"/>
      <c r="D129" s="731"/>
      <c r="E129" s="238" t="s">
        <v>35</v>
      </c>
      <c r="F129" s="239">
        <v>23</v>
      </c>
      <c r="G129" s="238" t="s">
        <v>175</v>
      </c>
      <c r="H129" s="261">
        <v>26</v>
      </c>
      <c r="I129" s="734" t="s">
        <v>32</v>
      </c>
      <c r="J129" s="734"/>
      <c r="K129" s="734"/>
      <c r="L129" s="734"/>
      <c r="M129" s="261" t="s">
        <v>66</v>
      </c>
      <c r="N129" s="261"/>
      <c r="O129" s="289"/>
      <c r="P129" s="737"/>
      <c r="Q129" s="737"/>
      <c r="R129" s="737"/>
    </row>
    <row r="130" spans="1:18" x14ac:dyDescent="0.25">
      <c r="A130" s="237">
        <v>42063</v>
      </c>
      <c r="B130" s="240">
        <v>14.3</v>
      </c>
      <c r="C130" s="731"/>
      <c r="D130" s="731"/>
      <c r="E130" s="238" t="s">
        <v>35</v>
      </c>
      <c r="F130" s="239">
        <v>19</v>
      </c>
      <c r="G130" s="238" t="s">
        <v>175</v>
      </c>
      <c r="H130" s="261">
        <v>22</v>
      </c>
      <c r="I130" s="734" t="s">
        <v>33</v>
      </c>
      <c r="J130" s="734"/>
      <c r="K130" s="734"/>
      <c r="L130" s="734"/>
      <c r="M130" s="261" t="s">
        <v>66</v>
      </c>
      <c r="N130" s="261"/>
      <c r="O130" s="289"/>
      <c r="P130" s="737"/>
      <c r="Q130" s="737"/>
      <c r="R130" s="737"/>
    </row>
    <row r="131" spans="1:18" x14ac:dyDescent="0.25">
      <c r="A131" s="237">
        <v>42063</v>
      </c>
      <c r="B131" s="240">
        <v>17</v>
      </c>
      <c r="C131" s="731"/>
      <c r="D131" s="731"/>
      <c r="E131" s="238" t="s">
        <v>34</v>
      </c>
      <c r="F131" s="239">
        <v>13</v>
      </c>
      <c r="G131" s="238" t="s">
        <v>175</v>
      </c>
      <c r="H131" s="261">
        <v>20</v>
      </c>
      <c r="I131" s="734" t="s">
        <v>32</v>
      </c>
      <c r="J131" s="734"/>
      <c r="K131" s="734"/>
      <c r="L131" s="734"/>
      <c r="M131" s="261" t="s">
        <v>70</v>
      </c>
      <c r="N131" s="261"/>
      <c r="O131" s="289"/>
      <c r="P131" s="737"/>
      <c r="Q131" s="737"/>
      <c r="R131" s="737"/>
    </row>
    <row r="132" spans="1:18" x14ac:dyDescent="0.25">
      <c r="A132" s="237">
        <v>42064</v>
      </c>
      <c r="B132" s="240">
        <v>15</v>
      </c>
      <c r="C132" s="731"/>
      <c r="D132" s="731"/>
      <c r="E132" s="238" t="s">
        <v>39</v>
      </c>
      <c r="F132" s="239">
        <v>19</v>
      </c>
      <c r="G132" s="238" t="s">
        <v>175</v>
      </c>
      <c r="H132" s="261">
        <v>9</v>
      </c>
      <c r="I132" s="734" t="s">
        <v>30</v>
      </c>
      <c r="J132" s="734"/>
      <c r="K132" s="734"/>
      <c r="L132" s="734"/>
      <c r="M132" s="261" t="s">
        <v>72</v>
      </c>
      <c r="N132" s="261"/>
      <c r="O132" s="289"/>
      <c r="P132" s="737"/>
      <c r="Q132" s="737"/>
      <c r="R132" s="737"/>
    </row>
    <row r="133" spans="1:18" x14ac:dyDescent="0.25">
      <c r="A133" s="237">
        <v>42077</v>
      </c>
      <c r="B133" s="240">
        <v>14.3</v>
      </c>
      <c r="C133" s="731"/>
      <c r="D133" s="731"/>
      <c r="E133" s="238" t="s">
        <v>32</v>
      </c>
      <c r="F133" s="239">
        <v>23</v>
      </c>
      <c r="G133" s="238" t="s">
        <v>175</v>
      </c>
      <c r="H133" s="261">
        <v>16</v>
      </c>
      <c r="I133" s="734" t="s">
        <v>39</v>
      </c>
      <c r="J133" s="734"/>
      <c r="K133" s="734"/>
      <c r="L133" s="734"/>
      <c r="M133" s="261" t="s">
        <v>91</v>
      </c>
      <c r="N133" s="261"/>
      <c r="O133" s="289"/>
      <c r="P133" s="737"/>
      <c r="Q133" s="737"/>
      <c r="R133" s="737"/>
    </row>
    <row r="134" spans="1:18" x14ac:dyDescent="0.25">
      <c r="A134" s="237">
        <v>42077</v>
      </c>
      <c r="B134" s="240">
        <v>17</v>
      </c>
      <c r="C134" s="731"/>
      <c r="D134" s="731"/>
      <c r="E134" s="238" t="s">
        <v>30</v>
      </c>
      <c r="F134" s="239">
        <v>25</v>
      </c>
      <c r="G134" s="238" t="s">
        <v>175</v>
      </c>
      <c r="H134" s="261">
        <v>13</v>
      </c>
      <c r="I134" s="734" t="s">
        <v>35</v>
      </c>
      <c r="J134" s="734"/>
      <c r="K134" s="734"/>
      <c r="L134" s="734"/>
      <c r="M134" s="261" t="s">
        <v>67</v>
      </c>
      <c r="N134" s="261"/>
      <c r="O134" s="289"/>
      <c r="P134" s="737"/>
      <c r="Q134" s="737"/>
      <c r="R134" s="737"/>
    </row>
    <row r="135" spans="1:18" x14ac:dyDescent="0.25">
      <c r="A135" s="237">
        <v>42078</v>
      </c>
      <c r="B135" s="240">
        <v>15</v>
      </c>
      <c r="C135" s="731"/>
      <c r="D135" s="731"/>
      <c r="E135" s="238" t="s">
        <v>33</v>
      </c>
      <c r="F135" s="239">
        <v>0</v>
      </c>
      <c r="G135" s="238" t="s">
        <v>175</v>
      </c>
      <c r="H135" s="261">
        <v>29</v>
      </c>
      <c r="I135" s="734" t="s">
        <v>34</v>
      </c>
      <c r="J135" s="734"/>
      <c r="K135" s="734"/>
      <c r="L135" s="734"/>
      <c r="M135" s="261" t="s">
        <v>68</v>
      </c>
      <c r="N135" s="261"/>
      <c r="O135" s="289"/>
      <c r="P135" s="737"/>
      <c r="Q135" s="737"/>
      <c r="R135" s="737"/>
    </row>
    <row r="136" spans="1:18" x14ac:dyDescent="0.25">
      <c r="A136" s="237">
        <v>42084</v>
      </c>
      <c r="B136" s="240">
        <v>12.3</v>
      </c>
      <c r="C136" s="731"/>
      <c r="D136" s="731"/>
      <c r="E136" s="238" t="s">
        <v>33</v>
      </c>
      <c r="F136" s="239">
        <v>20</v>
      </c>
      <c r="G136" s="238" t="s">
        <v>175</v>
      </c>
      <c r="H136" s="261">
        <v>61</v>
      </c>
      <c r="I136" s="734" t="s">
        <v>32</v>
      </c>
      <c r="J136" s="734"/>
      <c r="K136" s="734"/>
      <c r="L136" s="734"/>
      <c r="M136" s="261" t="s">
        <v>68</v>
      </c>
      <c r="N136" s="261"/>
      <c r="O136" s="289"/>
      <c r="P136" s="737"/>
      <c r="Q136" s="737"/>
      <c r="R136" s="737"/>
    </row>
    <row r="137" spans="1:18" x14ac:dyDescent="0.25">
      <c r="A137" s="237">
        <v>42084</v>
      </c>
      <c r="B137" s="240">
        <v>14.3</v>
      </c>
      <c r="C137" s="731"/>
      <c r="D137" s="731"/>
      <c r="E137" s="238" t="s">
        <v>35</v>
      </c>
      <c r="F137" s="239">
        <v>10</v>
      </c>
      <c r="G137" s="238" t="s">
        <v>175</v>
      </c>
      <c r="H137" s="261">
        <v>40</v>
      </c>
      <c r="I137" s="734" t="s">
        <v>39</v>
      </c>
      <c r="J137" s="734"/>
      <c r="K137" s="734"/>
      <c r="L137" s="734"/>
      <c r="M137" s="261" t="s">
        <v>66</v>
      </c>
      <c r="N137" s="261"/>
      <c r="O137" s="289"/>
      <c r="P137" s="737"/>
      <c r="Q137" s="737"/>
      <c r="R137" s="737"/>
    </row>
    <row r="138" spans="1:18" x14ac:dyDescent="0.25">
      <c r="A138" s="237">
        <v>42084</v>
      </c>
      <c r="B138" s="240">
        <v>17</v>
      </c>
      <c r="C138" s="731"/>
      <c r="D138" s="731"/>
      <c r="E138" s="238" t="s">
        <v>30</v>
      </c>
      <c r="F138" s="239">
        <v>55</v>
      </c>
      <c r="G138" s="238" t="s">
        <v>175</v>
      </c>
      <c r="H138" s="261">
        <v>35</v>
      </c>
      <c r="I138" s="734" t="s">
        <v>34</v>
      </c>
      <c r="J138" s="734"/>
      <c r="K138" s="734"/>
      <c r="L138" s="734"/>
      <c r="M138" s="261" t="s">
        <v>67</v>
      </c>
      <c r="N138" s="261"/>
      <c r="O138" s="289"/>
      <c r="P138" s="737"/>
      <c r="Q138" s="737"/>
      <c r="R138" s="737"/>
    </row>
    <row r="139" spans="1:18" x14ac:dyDescent="0.25">
      <c r="A139" s="455" t="s">
        <v>28</v>
      </c>
    </row>
  </sheetData>
  <mergeCells count="347">
    <mergeCell ref="C8:E8"/>
    <mergeCell ref="L8:N8"/>
    <mergeCell ref="L5:N5"/>
    <mergeCell ref="C6:E6"/>
    <mergeCell ref="C5:E5"/>
    <mergeCell ref="L6:N6"/>
    <mergeCell ref="C7:E7"/>
    <mergeCell ref="L7:N7"/>
    <mergeCell ref="L2:N2"/>
    <mergeCell ref="I2:K2"/>
    <mergeCell ref="L3:N3"/>
    <mergeCell ref="C2:E2"/>
    <mergeCell ref="C3:E3"/>
    <mergeCell ref="C4:E4"/>
    <mergeCell ref="I4:K4"/>
    <mergeCell ref="L4:N4"/>
    <mergeCell ref="L34:N34"/>
    <mergeCell ref="C66:E66"/>
    <mergeCell ref="I66:K66"/>
    <mergeCell ref="L66:N66"/>
    <mergeCell ref="C67:E67"/>
    <mergeCell ref="I67:K67"/>
    <mergeCell ref="L67:N67"/>
    <mergeCell ref="C60:E60"/>
    <mergeCell ref="I60:K60"/>
    <mergeCell ref="L60:N60"/>
    <mergeCell ref="C61:E61"/>
    <mergeCell ref="I61:K61"/>
    <mergeCell ref="L61:N61"/>
    <mergeCell ref="C62:E62"/>
    <mergeCell ref="I62:K62"/>
    <mergeCell ref="L62:N62"/>
    <mergeCell ref="C57:E57"/>
    <mergeCell ref="I57:K57"/>
    <mergeCell ref="L57:N57"/>
    <mergeCell ref="C58:E58"/>
    <mergeCell ref="I58:K58"/>
    <mergeCell ref="L58:N58"/>
    <mergeCell ref="C59:E59"/>
    <mergeCell ref="I59:K59"/>
    <mergeCell ref="C68:E68"/>
    <mergeCell ref="I68:K68"/>
    <mergeCell ref="L68:N68"/>
    <mergeCell ref="C63:E63"/>
    <mergeCell ref="I63:K63"/>
    <mergeCell ref="L63:N63"/>
    <mergeCell ref="C64:E64"/>
    <mergeCell ref="I64:K64"/>
    <mergeCell ref="L64:N64"/>
    <mergeCell ref="C65:E65"/>
    <mergeCell ref="I65:K65"/>
    <mergeCell ref="L65:N65"/>
    <mergeCell ref="L59:N59"/>
    <mergeCell ref="C54:E54"/>
    <mergeCell ref="I54:K54"/>
    <mergeCell ref="L54:N54"/>
    <mergeCell ref="C55:E55"/>
    <mergeCell ref="I55:K55"/>
    <mergeCell ref="L55:N55"/>
    <mergeCell ref="C56:E56"/>
    <mergeCell ref="I56:K56"/>
    <mergeCell ref="L56:N56"/>
    <mergeCell ref="C117:E117"/>
    <mergeCell ref="I117:K117"/>
    <mergeCell ref="L117:N117"/>
    <mergeCell ref="C118:E118"/>
    <mergeCell ref="I118:K118"/>
    <mergeCell ref="L118:N118"/>
    <mergeCell ref="A123:B123"/>
    <mergeCell ref="C119:E119"/>
    <mergeCell ref="I119:K119"/>
    <mergeCell ref="L119:N119"/>
    <mergeCell ref="C120:E120"/>
    <mergeCell ref="I120:K120"/>
    <mergeCell ref="L120:N120"/>
    <mergeCell ref="C121:E121"/>
    <mergeCell ref="I121:K121"/>
    <mergeCell ref="L121:N121"/>
    <mergeCell ref="I113:K113"/>
    <mergeCell ref="L113:N113"/>
    <mergeCell ref="C114:E114"/>
    <mergeCell ref="I114:K114"/>
    <mergeCell ref="L114:N114"/>
    <mergeCell ref="C115:E115"/>
    <mergeCell ref="I115:K115"/>
    <mergeCell ref="L115:N115"/>
    <mergeCell ref="C116:E116"/>
    <mergeCell ref="I116:K116"/>
    <mergeCell ref="L116:N116"/>
    <mergeCell ref="C110:E110"/>
    <mergeCell ref="I110:K110"/>
    <mergeCell ref="L110:N110"/>
    <mergeCell ref="C111:E111"/>
    <mergeCell ref="I111:K111"/>
    <mergeCell ref="L111:N111"/>
    <mergeCell ref="C112:E112"/>
    <mergeCell ref="I112:K112"/>
    <mergeCell ref="L112:N112"/>
    <mergeCell ref="C107:E107"/>
    <mergeCell ref="I107:K107"/>
    <mergeCell ref="L107:N107"/>
    <mergeCell ref="C108:E108"/>
    <mergeCell ref="I108:K108"/>
    <mergeCell ref="L108:N108"/>
    <mergeCell ref="C109:E109"/>
    <mergeCell ref="I109:K109"/>
    <mergeCell ref="L109:N109"/>
    <mergeCell ref="P135:R135"/>
    <mergeCell ref="I136:L136"/>
    <mergeCell ref="P136:R136"/>
    <mergeCell ref="I135:L135"/>
    <mergeCell ref="P137:R137"/>
    <mergeCell ref="C138:D138"/>
    <mergeCell ref="I138:L138"/>
    <mergeCell ref="P138:R138"/>
    <mergeCell ref="C137:D137"/>
    <mergeCell ref="I137:L137"/>
    <mergeCell ref="C135:D135"/>
    <mergeCell ref="C136:D136"/>
    <mergeCell ref="I130:L130"/>
    <mergeCell ref="P130:R130"/>
    <mergeCell ref="I129:L129"/>
    <mergeCell ref="P131:R131"/>
    <mergeCell ref="I132:L132"/>
    <mergeCell ref="P132:R132"/>
    <mergeCell ref="I131:L131"/>
    <mergeCell ref="P133:R133"/>
    <mergeCell ref="I134:L134"/>
    <mergeCell ref="P134:R134"/>
    <mergeCell ref="I133:L133"/>
    <mergeCell ref="P125:R125"/>
    <mergeCell ref="I126:L126"/>
    <mergeCell ref="P126:R126"/>
    <mergeCell ref="I125:L125"/>
    <mergeCell ref="P127:R127"/>
    <mergeCell ref="I128:L128"/>
    <mergeCell ref="P128:R128"/>
    <mergeCell ref="I127:L127"/>
    <mergeCell ref="P129:R129"/>
    <mergeCell ref="P122:Q122"/>
    <mergeCell ref="C124:D124"/>
    <mergeCell ref="I124:L124"/>
    <mergeCell ref="P124:R124"/>
    <mergeCell ref="A88:B88"/>
    <mergeCell ref="C89:E89"/>
    <mergeCell ref="I89:K89"/>
    <mergeCell ref="L89:N89"/>
    <mergeCell ref="C90:E90"/>
    <mergeCell ref="I90:K90"/>
    <mergeCell ref="L90:N90"/>
    <mergeCell ref="C91:E91"/>
    <mergeCell ref="I91:K91"/>
    <mergeCell ref="L91:N91"/>
    <mergeCell ref="C92:E92"/>
    <mergeCell ref="I92:K92"/>
    <mergeCell ref="L92:N92"/>
    <mergeCell ref="C93:E93"/>
    <mergeCell ref="I93:K93"/>
    <mergeCell ref="L93:N93"/>
    <mergeCell ref="C94:E94"/>
    <mergeCell ref="I94:K94"/>
    <mergeCell ref="A106:B106"/>
    <mergeCell ref="C113:E113"/>
    <mergeCell ref="L94:N94"/>
    <mergeCell ref="C95:E95"/>
    <mergeCell ref="I95:K95"/>
    <mergeCell ref="L95:N95"/>
    <mergeCell ref="C96:E96"/>
    <mergeCell ref="I96:K96"/>
    <mergeCell ref="L96:N96"/>
    <mergeCell ref="C97:E97"/>
    <mergeCell ref="I97:K97"/>
    <mergeCell ref="L97:N97"/>
    <mergeCell ref="C98:E98"/>
    <mergeCell ref="I98:K98"/>
    <mergeCell ref="L98:N98"/>
    <mergeCell ref="C99:E99"/>
    <mergeCell ref="I99:K99"/>
    <mergeCell ref="L99:N99"/>
    <mergeCell ref="C100:E100"/>
    <mergeCell ref="I100:K100"/>
    <mergeCell ref="L100:N100"/>
    <mergeCell ref="C103:E103"/>
    <mergeCell ref="I103:K103"/>
    <mergeCell ref="L103:N103"/>
    <mergeCell ref="C101:E101"/>
    <mergeCell ref="I101:K101"/>
    <mergeCell ref="L101:N101"/>
    <mergeCell ref="C102:E102"/>
    <mergeCell ref="I102:K102"/>
    <mergeCell ref="L102:N102"/>
    <mergeCell ref="A70:B70"/>
    <mergeCell ref="C71:E71"/>
    <mergeCell ref="I71:K71"/>
    <mergeCell ref="L71:N71"/>
    <mergeCell ref="C72:E72"/>
    <mergeCell ref="I72:K72"/>
    <mergeCell ref="L72:N72"/>
    <mergeCell ref="C73:E73"/>
    <mergeCell ref="I73:K73"/>
    <mergeCell ref="L73:N73"/>
    <mergeCell ref="C74:E74"/>
    <mergeCell ref="I74:K74"/>
    <mergeCell ref="L74:N74"/>
    <mergeCell ref="C75:E75"/>
    <mergeCell ref="I75:K75"/>
    <mergeCell ref="L75:N75"/>
    <mergeCell ref="C76:E76"/>
    <mergeCell ref="I76:K76"/>
    <mergeCell ref="L76:N76"/>
    <mergeCell ref="C77:E77"/>
    <mergeCell ref="I77:K77"/>
    <mergeCell ref="L77:N77"/>
    <mergeCell ref="C78:E78"/>
    <mergeCell ref="I78:K78"/>
    <mergeCell ref="L78:N78"/>
    <mergeCell ref="C79:E79"/>
    <mergeCell ref="I79:K79"/>
    <mergeCell ref="L79:N79"/>
    <mergeCell ref="C80:E80"/>
    <mergeCell ref="I80:K80"/>
    <mergeCell ref="L80:N80"/>
    <mergeCell ref="C81:E81"/>
    <mergeCell ref="I81:K81"/>
    <mergeCell ref="L81:N81"/>
    <mergeCell ref="C82:E82"/>
    <mergeCell ref="I82:K82"/>
    <mergeCell ref="L82:N82"/>
    <mergeCell ref="C83:E83"/>
    <mergeCell ref="I83:K83"/>
    <mergeCell ref="L83:N83"/>
    <mergeCell ref="C84:E84"/>
    <mergeCell ref="I84:K84"/>
    <mergeCell ref="L84:N84"/>
    <mergeCell ref="C85:E85"/>
    <mergeCell ref="I85:K85"/>
    <mergeCell ref="L85:N85"/>
    <mergeCell ref="C37:E37"/>
    <mergeCell ref="I37:K37"/>
    <mergeCell ref="L37:N37"/>
    <mergeCell ref="C38:E38"/>
    <mergeCell ref="I38:K38"/>
    <mergeCell ref="L38:N38"/>
    <mergeCell ref="C39:E39"/>
    <mergeCell ref="I39:K39"/>
    <mergeCell ref="L39:N39"/>
    <mergeCell ref="C40:E40"/>
    <mergeCell ref="I40:K40"/>
    <mergeCell ref="L40:N40"/>
    <mergeCell ref="C41:E41"/>
    <mergeCell ref="I41:K41"/>
    <mergeCell ref="L41:N41"/>
    <mergeCell ref="C42:E42"/>
    <mergeCell ref="I42:K42"/>
    <mergeCell ref="L42:N42"/>
    <mergeCell ref="I47:K47"/>
    <mergeCell ref="L47:N47"/>
    <mergeCell ref="C49:E49"/>
    <mergeCell ref="I49:K49"/>
    <mergeCell ref="L49:N49"/>
    <mergeCell ref="C43:E43"/>
    <mergeCell ref="I43:K43"/>
    <mergeCell ref="L43:N43"/>
    <mergeCell ref="C44:E44"/>
    <mergeCell ref="I44:K44"/>
    <mergeCell ref="L44:N44"/>
    <mergeCell ref="C45:E45"/>
    <mergeCell ref="I45:K45"/>
    <mergeCell ref="L45:N45"/>
    <mergeCell ref="C25:E25"/>
    <mergeCell ref="I25:K25"/>
    <mergeCell ref="L25:N25"/>
    <mergeCell ref="C26:E26"/>
    <mergeCell ref="I26:K26"/>
    <mergeCell ref="L26:N26"/>
    <mergeCell ref="C27:E27"/>
    <mergeCell ref="I27:K27"/>
    <mergeCell ref="C19:E19"/>
    <mergeCell ref="I19:K19"/>
    <mergeCell ref="L19:N19"/>
    <mergeCell ref="C20:E20"/>
    <mergeCell ref="I20:K20"/>
    <mergeCell ref="L20:N20"/>
    <mergeCell ref="C21:E21"/>
    <mergeCell ref="I21:K21"/>
    <mergeCell ref="L21:N21"/>
    <mergeCell ref="C125:D125"/>
    <mergeCell ref="C126:D126"/>
    <mergeCell ref="C32:E32"/>
    <mergeCell ref="I32:K32"/>
    <mergeCell ref="L32:N32"/>
    <mergeCell ref="C33:E33"/>
    <mergeCell ref="I33:K33"/>
    <mergeCell ref="L33:N33"/>
    <mergeCell ref="C28:E28"/>
    <mergeCell ref="I28:K28"/>
    <mergeCell ref="L28:N28"/>
    <mergeCell ref="C29:E29"/>
    <mergeCell ref="I29:K29"/>
    <mergeCell ref="L29:N29"/>
    <mergeCell ref="C50:E50"/>
    <mergeCell ref="I50:K50"/>
    <mergeCell ref="L50:N50"/>
    <mergeCell ref="C51:E51"/>
    <mergeCell ref="I51:K51"/>
    <mergeCell ref="L51:N51"/>
    <mergeCell ref="C46:E46"/>
    <mergeCell ref="I46:K46"/>
    <mergeCell ref="L46:N46"/>
    <mergeCell ref="C47:E47"/>
    <mergeCell ref="C31:E31"/>
    <mergeCell ref="I31:K31"/>
    <mergeCell ref="L31:N31"/>
    <mergeCell ref="L11:N11"/>
    <mergeCell ref="L12:N12"/>
    <mergeCell ref="L13:N13"/>
    <mergeCell ref="C133:D133"/>
    <mergeCell ref="C134:D134"/>
    <mergeCell ref="C131:D131"/>
    <mergeCell ref="C132:D132"/>
    <mergeCell ref="C129:D129"/>
    <mergeCell ref="C130:D130"/>
    <mergeCell ref="C127:D127"/>
    <mergeCell ref="C128:D128"/>
    <mergeCell ref="L27:N27"/>
    <mergeCell ref="C22:E22"/>
    <mergeCell ref="I22:K22"/>
    <mergeCell ref="L22:N22"/>
    <mergeCell ref="C23:E23"/>
    <mergeCell ref="I23:K23"/>
    <mergeCell ref="L23:N23"/>
    <mergeCell ref="C24:E24"/>
    <mergeCell ref="I24:K24"/>
    <mergeCell ref="L24:N24"/>
    <mergeCell ref="C16:E16"/>
    <mergeCell ref="L16:N16"/>
    <mergeCell ref="C9:E9"/>
    <mergeCell ref="C13:E13"/>
    <mergeCell ref="C12:E12"/>
    <mergeCell ref="C11:E11"/>
    <mergeCell ref="C10:E10"/>
    <mergeCell ref="C14:E14"/>
    <mergeCell ref="L14:N14"/>
    <mergeCell ref="C15:E15"/>
    <mergeCell ref="L15:N15"/>
    <mergeCell ref="L9:N9"/>
    <mergeCell ref="L10:N10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33"/>
  <sheetViews>
    <sheetView topLeftCell="A6" workbookViewId="0">
      <selection activeCell="C6" sqref="C6"/>
    </sheetView>
  </sheetViews>
  <sheetFormatPr defaultRowHeight="14.3" x14ac:dyDescent="0.25"/>
  <cols>
    <col min="1" max="1" width="8.875" bestFit="1" customWidth="1"/>
    <col min="3" max="3" width="28.875" bestFit="1" customWidth="1"/>
    <col min="4" max="4" width="7.625" customWidth="1"/>
    <col min="5" max="5" width="10.375" bestFit="1" customWidth="1"/>
  </cols>
  <sheetData>
    <row r="1" spans="1:18" ht="14.95" thickBot="1" x14ac:dyDescent="0.3"/>
    <row r="2" spans="1:18" ht="14.95" customHeight="1" thickBot="1" x14ac:dyDescent="0.3">
      <c r="A2" s="173"/>
      <c r="B2" s="749" t="s">
        <v>54</v>
      </c>
      <c r="C2" s="750"/>
      <c r="D2" s="740" t="s">
        <v>55</v>
      </c>
      <c r="E2" s="741"/>
      <c r="F2" s="192" t="s">
        <v>56</v>
      </c>
      <c r="H2" s="744" t="s">
        <v>58</v>
      </c>
      <c r="I2" s="746" t="s">
        <v>92</v>
      </c>
      <c r="J2" s="747"/>
      <c r="K2" s="746" t="s">
        <v>93</v>
      </c>
      <c r="L2" s="748"/>
      <c r="M2" s="748"/>
      <c r="N2" s="748"/>
      <c r="O2" s="747"/>
      <c r="P2" s="263" t="s">
        <v>94</v>
      </c>
      <c r="Q2" s="746" t="s">
        <v>95</v>
      </c>
      <c r="R2" s="747"/>
    </row>
    <row r="3" spans="1:18" ht="14.95" customHeight="1" thickBot="1" x14ac:dyDescent="0.3">
      <c r="A3" s="249" t="s">
        <v>34</v>
      </c>
      <c r="B3" s="660">
        <v>0</v>
      </c>
      <c r="C3" s="497"/>
      <c r="D3" s="193">
        <v>0</v>
      </c>
      <c r="E3" s="194"/>
      <c r="F3" s="195">
        <f t="shared" ref="F3:F8" si="0">SUM(B3+D3*2)</f>
        <v>0</v>
      </c>
      <c r="H3" s="745"/>
      <c r="I3" s="264" t="s">
        <v>4</v>
      </c>
      <c r="J3" s="264" t="s">
        <v>5</v>
      </c>
      <c r="K3" s="265" t="s">
        <v>96</v>
      </c>
      <c r="L3" s="266" t="s">
        <v>97</v>
      </c>
      <c r="M3" s="266" t="s">
        <v>98</v>
      </c>
      <c r="N3" s="267" t="s">
        <v>99</v>
      </c>
      <c r="O3" s="268" t="s">
        <v>100</v>
      </c>
      <c r="P3" s="269" t="s">
        <v>101</v>
      </c>
      <c r="Q3" s="265" t="s">
        <v>4</v>
      </c>
      <c r="R3" s="268" t="s">
        <v>5</v>
      </c>
    </row>
    <row r="4" spans="1:18" ht="14.95" customHeight="1" thickBot="1" x14ac:dyDescent="0.3">
      <c r="A4" s="59" t="s">
        <v>39</v>
      </c>
      <c r="B4" s="196">
        <v>0</v>
      </c>
      <c r="C4" s="344"/>
      <c r="D4" s="193">
        <f>Irelandred</f>
        <v>0</v>
      </c>
      <c r="E4" s="194"/>
      <c r="F4" s="195">
        <f t="shared" si="0"/>
        <v>0</v>
      </c>
      <c r="H4" s="282" t="s">
        <v>30</v>
      </c>
      <c r="I4" s="270">
        <v>15</v>
      </c>
      <c r="J4" s="270">
        <v>32</v>
      </c>
      <c r="K4" s="270">
        <v>88</v>
      </c>
      <c r="L4" s="270">
        <v>0</v>
      </c>
      <c r="M4" s="270">
        <v>0</v>
      </c>
      <c r="N4" s="270">
        <v>0</v>
      </c>
      <c r="O4" s="271">
        <f t="shared" ref="O4:O9" si="1">SUM(K4:N4)</f>
        <v>88</v>
      </c>
      <c r="P4" s="270">
        <v>0</v>
      </c>
      <c r="Q4" s="495">
        <f t="shared" ref="Q4" si="2">SUM(I4/O4)*10</f>
        <v>1.7045454545454544</v>
      </c>
      <c r="R4" s="494">
        <f t="shared" ref="R4" si="3">SUM(J4/O4)*10</f>
        <v>3.6363636363636367</v>
      </c>
    </row>
    <row r="5" spans="1:18" ht="14.95" customHeight="1" thickBot="1" x14ac:dyDescent="0.3">
      <c r="A5" s="120" t="s">
        <v>35</v>
      </c>
      <c r="B5" s="197">
        <v>2</v>
      </c>
      <c r="C5" s="674" t="s">
        <v>387</v>
      </c>
      <c r="D5" s="193">
        <f>Scotlandred</f>
        <v>0</v>
      </c>
      <c r="E5" s="194"/>
      <c r="F5" s="195">
        <f t="shared" si="0"/>
        <v>2</v>
      </c>
      <c r="H5" s="248" t="s">
        <v>34</v>
      </c>
      <c r="I5" s="270">
        <v>0</v>
      </c>
      <c r="J5" s="270">
        <v>0</v>
      </c>
      <c r="K5" s="270">
        <v>0</v>
      </c>
      <c r="L5" s="270">
        <v>0</v>
      </c>
      <c r="M5" s="270">
        <v>0</v>
      </c>
      <c r="N5" s="270">
        <v>0</v>
      </c>
      <c r="O5" s="271">
        <f t="shared" si="1"/>
        <v>0</v>
      </c>
      <c r="P5" s="270">
        <v>0</v>
      </c>
      <c r="Q5" s="655">
        <v>0</v>
      </c>
      <c r="R5" s="656">
        <v>0</v>
      </c>
    </row>
    <row r="6" spans="1:18" ht="14.95" customHeight="1" thickBot="1" x14ac:dyDescent="0.3">
      <c r="A6" s="9" t="s">
        <v>32</v>
      </c>
      <c r="B6" s="197">
        <f>Walesyellow</f>
        <v>2</v>
      </c>
      <c r="C6" s="198" t="s">
        <v>329</v>
      </c>
      <c r="D6" s="193">
        <f>Walesred</f>
        <v>0</v>
      </c>
      <c r="E6" s="194"/>
      <c r="F6" s="195">
        <f t="shared" si="0"/>
        <v>2</v>
      </c>
      <c r="H6" s="58" t="s">
        <v>39</v>
      </c>
      <c r="I6" s="270">
        <v>0</v>
      </c>
      <c r="J6" s="270">
        <v>0</v>
      </c>
      <c r="K6" s="270">
        <v>0</v>
      </c>
      <c r="L6" s="270">
        <v>0</v>
      </c>
      <c r="M6" s="270">
        <v>0</v>
      </c>
      <c r="N6" s="270">
        <v>0</v>
      </c>
      <c r="O6" s="271">
        <f t="shared" si="1"/>
        <v>0</v>
      </c>
      <c r="P6" s="270">
        <v>0</v>
      </c>
      <c r="Q6" s="676" t="s">
        <v>358</v>
      </c>
      <c r="R6" s="677" t="s">
        <v>358</v>
      </c>
    </row>
    <row r="7" spans="1:18" ht="14.95" customHeight="1" thickBot="1" x14ac:dyDescent="0.3">
      <c r="A7" s="286" t="s">
        <v>30</v>
      </c>
      <c r="B7" s="197">
        <f>Englandyellow</f>
        <v>1</v>
      </c>
      <c r="C7" s="198" t="s">
        <v>271</v>
      </c>
      <c r="D7" s="193">
        <v>1</v>
      </c>
      <c r="E7" s="194" t="s">
        <v>370</v>
      </c>
      <c r="F7" s="195">
        <f t="shared" si="0"/>
        <v>3</v>
      </c>
      <c r="H7" s="279" t="s">
        <v>33</v>
      </c>
      <c r="I7" s="270">
        <v>3</v>
      </c>
      <c r="J7" s="270">
        <v>50</v>
      </c>
      <c r="K7" s="270">
        <v>0</v>
      </c>
      <c r="L7" s="270">
        <v>56</v>
      </c>
      <c r="M7" s="270">
        <v>7</v>
      </c>
      <c r="N7" s="270">
        <v>0</v>
      </c>
      <c r="O7" s="271">
        <f t="shared" si="1"/>
        <v>63</v>
      </c>
      <c r="P7" s="270">
        <v>0</v>
      </c>
      <c r="Q7" s="495">
        <f t="shared" ref="Q7" si="4">SUM(I7/O7)*10</f>
        <v>0.47619047619047616</v>
      </c>
      <c r="R7" s="494">
        <f t="shared" ref="R7" si="5">SUM(J7/O7)*10</f>
        <v>7.9365079365079358</v>
      </c>
    </row>
    <row r="8" spans="1:18" ht="14.95" customHeight="1" thickBot="1" x14ac:dyDescent="0.3">
      <c r="A8" s="287" t="s">
        <v>33</v>
      </c>
      <c r="B8" s="196">
        <v>1</v>
      </c>
      <c r="C8" s="199" t="s">
        <v>343</v>
      </c>
      <c r="D8" s="193">
        <f>Italyred</f>
        <v>1</v>
      </c>
      <c r="E8" s="194" t="s">
        <v>342</v>
      </c>
      <c r="F8" s="195">
        <f t="shared" si="0"/>
        <v>3</v>
      </c>
      <c r="H8" s="119" t="s">
        <v>35</v>
      </c>
      <c r="I8" s="270">
        <v>0</v>
      </c>
      <c r="J8" s="270">
        <v>8</v>
      </c>
      <c r="K8" s="270">
        <v>13</v>
      </c>
      <c r="L8" s="270">
        <v>0</v>
      </c>
      <c r="M8" s="270">
        <v>0</v>
      </c>
      <c r="N8" s="270">
        <v>0</v>
      </c>
      <c r="O8" s="271">
        <f t="shared" si="1"/>
        <v>13</v>
      </c>
      <c r="P8" s="270">
        <v>0</v>
      </c>
      <c r="Q8" s="495">
        <f t="shared" ref="Q8" si="6">SUM(I8/O8)*10</f>
        <v>0</v>
      </c>
      <c r="R8" s="494">
        <f t="shared" ref="R8" si="7">SUM(J8/O8)*10</f>
        <v>6.1538461538461542</v>
      </c>
    </row>
    <row r="9" spans="1:18" ht="14.95" customHeight="1" thickBot="1" x14ac:dyDescent="0.3">
      <c r="A9" s="288" t="s">
        <v>57</v>
      </c>
      <c r="B9" s="196">
        <f>SUM(B3:B8)</f>
        <v>6</v>
      </c>
      <c r="C9" s="199"/>
      <c r="D9" s="200">
        <f>SUM(D3:D8)</f>
        <v>2</v>
      </c>
      <c r="E9" s="201"/>
      <c r="F9" s="192" t="s">
        <v>58</v>
      </c>
      <c r="H9" s="8" t="s">
        <v>32</v>
      </c>
      <c r="I9" s="270">
        <v>0</v>
      </c>
      <c r="J9" s="270">
        <v>10</v>
      </c>
      <c r="K9" s="270">
        <v>20</v>
      </c>
      <c r="L9" s="270">
        <v>0</v>
      </c>
      <c r="M9" s="270">
        <v>0</v>
      </c>
      <c r="N9" s="270">
        <v>0</v>
      </c>
      <c r="O9" s="271">
        <f t="shared" si="1"/>
        <v>20</v>
      </c>
      <c r="P9" s="270">
        <v>0</v>
      </c>
      <c r="Q9" s="495">
        <f t="shared" ref="Q9" si="8">SUM(I9/O9)*10</f>
        <v>0</v>
      </c>
      <c r="R9" s="494">
        <f t="shared" ref="R9" si="9">SUM(J9/O9)*10</f>
        <v>5</v>
      </c>
    </row>
    <row r="10" spans="1:18" ht="14.95" thickBot="1" x14ac:dyDescent="0.3">
      <c r="D10" s="202"/>
      <c r="E10" s="203"/>
      <c r="H10" s="277" t="s">
        <v>57</v>
      </c>
      <c r="I10" s="272">
        <f>SUM(I4:I9)</f>
        <v>18</v>
      </c>
      <c r="J10" s="272">
        <f>SUM(J4:J9)</f>
        <v>100</v>
      </c>
      <c r="K10" s="272">
        <f t="shared" ref="K10:P10" si="10">SUM(K4:K9)</f>
        <v>121</v>
      </c>
      <c r="L10" s="272">
        <f t="shared" si="10"/>
        <v>56</v>
      </c>
      <c r="M10" s="272">
        <f t="shared" si="10"/>
        <v>7</v>
      </c>
      <c r="N10" s="272">
        <f t="shared" si="10"/>
        <v>0</v>
      </c>
      <c r="O10" s="272">
        <f t="shared" si="10"/>
        <v>184</v>
      </c>
      <c r="P10" s="272">
        <f t="shared" si="10"/>
        <v>0</v>
      </c>
      <c r="Q10" s="275">
        <f t="shared" ref="Q10" si="11">SUM(I10/O10)*10</f>
        <v>0.97826086956521741</v>
      </c>
      <c r="R10" s="276">
        <f t="shared" ref="R10" si="12">SUM(J10/O10)*10</f>
        <v>5.4347826086956523</v>
      </c>
    </row>
    <row r="11" spans="1:18" x14ac:dyDescent="0.25">
      <c r="A11" s="204" t="s">
        <v>59</v>
      </c>
      <c r="B11" s="204"/>
    </row>
    <row r="12" spans="1:18" x14ac:dyDescent="0.25">
      <c r="A12" s="742" t="s">
        <v>390</v>
      </c>
      <c r="B12" s="742"/>
      <c r="C12" s="743"/>
      <c r="D12" s="743"/>
      <c r="H12" s="204" t="s">
        <v>272</v>
      </c>
    </row>
    <row r="13" spans="1:18" ht="14.95" thickBot="1" x14ac:dyDescent="0.3">
      <c r="A13" s="455"/>
      <c r="B13" s="15"/>
      <c r="E13" t="s">
        <v>58</v>
      </c>
      <c r="I13" s="204"/>
    </row>
    <row r="14" spans="1:18" ht="14.95" thickBot="1" x14ac:dyDescent="0.3">
      <c r="H14" s="744" t="s">
        <v>58</v>
      </c>
      <c r="I14" s="746" t="s">
        <v>92</v>
      </c>
      <c r="J14" s="747"/>
      <c r="K14" s="746" t="s">
        <v>58</v>
      </c>
      <c r="L14" s="748"/>
      <c r="M14" s="748"/>
      <c r="N14" s="748"/>
      <c r="O14" s="747"/>
      <c r="P14" s="746" t="s">
        <v>95</v>
      </c>
      <c r="Q14" s="747"/>
    </row>
    <row r="15" spans="1:18" ht="14.95" thickBot="1" x14ac:dyDescent="0.3">
      <c r="H15" s="745"/>
      <c r="I15" s="264" t="s">
        <v>4</v>
      </c>
      <c r="J15" s="264" t="s">
        <v>5</v>
      </c>
      <c r="K15" s="265" t="s">
        <v>102</v>
      </c>
      <c r="L15" s="266" t="s">
        <v>103</v>
      </c>
      <c r="M15" s="266" t="s">
        <v>344</v>
      </c>
      <c r="N15" s="267"/>
      <c r="O15" s="268" t="s">
        <v>100</v>
      </c>
      <c r="P15" s="265" t="s">
        <v>4</v>
      </c>
      <c r="Q15" s="268" t="s">
        <v>5</v>
      </c>
    </row>
    <row r="16" spans="1:18" ht="14.95" thickBot="1" x14ac:dyDescent="0.3">
      <c r="H16" s="282" t="s">
        <v>30</v>
      </c>
      <c r="I16" s="270">
        <v>3</v>
      </c>
      <c r="J16" s="270">
        <v>0</v>
      </c>
      <c r="K16" s="270">
        <v>10</v>
      </c>
      <c r="L16" s="270">
        <v>0</v>
      </c>
      <c r="M16" s="270">
        <v>0</v>
      </c>
      <c r="N16" s="270">
        <v>0</v>
      </c>
      <c r="O16" s="271">
        <f t="shared" ref="O16:O21" si="13">SUM(K16:N16)</f>
        <v>10</v>
      </c>
      <c r="P16" s="495">
        <f t="shared" ref="P16" si="14">SUM(I16/O16)*10</f>
        <v>3</v>
      </c>
      <c r="Q16" s="494">
        <f t="shared" ref="Q16" si="15">SUM(J16/O16)*10</f>
        <v>0</v>
      </c>
    </row>
    <row r="17" spans="8:17" ht="14.95" thickBot="1" x14ac:dyDescent="0.3">
      <c r="H17" s="248" t="s">
        <v>34</v>
      </c>
      <c r="I17" s="270">
        <v>0</v>
      </c>
      <c r="J17" s="270">
        <v>0</v>
      </c>
      <c r="K17" s="270">
        <v>0</v>
      </c>
      <c r="L17" s="270">
        <v>0</v>
      </c>
      <c r="M17" s="270">
        <v>0</v>
      </c>
      <c r="N17" s="270">
        <v>0</v>
      </c>
      <c r="O17" s="271">
        <f t="shared" si="13"/>
        <v>0</v>
      </c>
      <c r="P17" s="655">
        <v>0</v>
      </c>
      <c r="Q17" s="656">
        <v>0</v>
      </c>
    </row>
    <row r="18" spans="8:17" ht="14.95" thickBot="1" x14ac:dyDescent="0.3">
      <c r="H18" s="58" t="s">
        <v>39</v>
      </c>
      <c r="I18" s="270">
        <v>91</v>
      </c>
      <c r="J18" s="270">
        <v>18</v>
      </c>
      <c r="K18" s="270">
        <v>91</v>
      </c>
      <c r="L18" s="270">
        <v>56</v>
      </c>
      <c r="M18" s="270">
        <v>7</v>
      </c>
      <c r="N18" s="270">
        <v>0</v>
      </c>
      <c r="O18" s="271">
        <f t="shared" si="13"/>
        <v>154</v>
      </c>
      <c r="P18" s="495">
        <f t="shared" ref="P18" si="16">SUM(I18/O18)*10</f>
        <v>5.9090909090909092</v>
      </c>
      <c r="Q18" s="494">
        <f t="shared" ref="Q18" si="17">SUM(J18/O18)*10</f>
        <v>1.1688311688311688</v>
      </c>
    </row>
    <row r="19" spans="8:17" ht="14.95" thickBot="1" x14ac:dyDescent="0.3">
      <c r="H19" s="279" t="s">
        <v>33</v>
      </c>
      <c r="I19" s="270">
        <v>0</v>
      </c>
      <c r="J19" s="270">
        <v>0</v>
      </c>
      <c r="K19" s="270">
        <v>0</v>
      </c>
      <c r="L19" s="270">
        <v>0</v>
      </c>
      <c r="M19" s="270">
        <v>0</v>
      </c>
      <c r="N19" s="270">
        <v>0</v>
      </c>
      <c r="O19" s="271">
        <f t="shared" si="13"/>
        <v>0</v>
      </c>
      <c r="P19" s="676" t="s">
        <v>358</v>
      </c>
      <c r="Q19" s="677" t="s">
        <v>358</v>
      </c>
    </row>
    <row r="20" spans="8:17" ht="14.95" thickBot="1" x14ac:dyDescent="0.3">
      <c r="H20" s="119" t="s">
        <v>35</v>
      </c>
      <c r="I20" s="270">
        <v>3</v>
      </c>
      <c r="J20" s="270">
        <v>0</v>
      </c>
      <c r="K20" s="270">
        <v>10</v>
      </c>
      <c r="L20" s="270">
        <v>0</v>
      </c>
      <c r="M20" s="270">
        <v>0</v>
      </c>
      <c r="N20" s="270">
        <v>0</v>
      </c>
      <c r="O20" s="271">
        <f t="shared" si="13"/>
        <v>10</v>
      </c>
      <c r="P20" s="495">
        <f t="shared" ref="P20" si="18">SUM(I20/O20)*10</f>
        <v>3</v>
      </c>
      <c r="Q20" s="494">
        <f t="shared" ref="Q20" si="19">SUM(J20/O20)*10</f>
        <v>0</v>
      </c>
    </row>
    <row r="21" spans="8:17" ht="14.95" thickBot="1" x14ac:dyDescent="0.3">
      <c r="H21" s="8" t="s">
        <v>32</v>
      </c>
      <c r="I21" s="270">
        <v>3</v>
      </c>
      <c r="J21" s="270">
        <v>0</v>
      </c>
      <c r="K21" s="270">
        <v>10</v>
      </c>
      <c r="L21" s="270">
        <v>0</v>
      </c>
      <c r="M21" s="270">
        <v>0</v>
      </c>
      <c r="N21" s="270">
        <v>0</v>
      </c>
      <c r="O21" s="271">
        <f t="shared" si="13"/>
        <v>10</v>
      </c>
      <c r="P21" s="495">
        <f t="shared" ref="P21" si="20">SUM(I21/O21)*10</f>
        <v>3</v>
      </c>
      <c r="Q21" s="494">
        <f t="shared" ref="Q21" si="21">SUM(J21/O21)*10</f>
        <v>0</v>
      </c>
    </row>
    <row r="22" spans="8:17" ht="14.95" thickBot="1" x14ac:dyDescent="0.3">
      <c r="H22" s="277" t="s">
        <v>57</v>
      </c>
      <c r="I22" s="272">
        <f t="shared" ref="I22:O22" si="22">SUM(I16:I21)</f>
        <v>100</v>
      </c>
      <c r="J22" s="273">
        <f t="shared" si="22"/>
        <v>18</v>
      </c>
      <c r="K22" s="272">
        <f t="shared" si="22"/>
        <v>121</v>
      </c>
      <c r="L22" s="274">
        <f t="shared" si="22"/>
        <v>56</v>
      </c>
      <c r="M22" s="274">
        <f t="shared" si="22"/>
        <v>7</v>
      </c>
      <c r="N22" s="274">
        <f t="shared" si="22"/>
        <v>0</v>
      </c>
      <c r="O22" s="273">
        <f t="shared" si="22"/>
        <v>184</v>
      </c>
      <c r="P22" s="275">
        <f t="shared" ref="P22" si="23">SUM(I22/O22)*10</f>
        <v>5.4347826086956523</v>
      </c>
      <c r="Q22" s="276">
        <f t="shared" ref="Q22" si="24">SUM(J22/O22)*10</f>
        <v>0.97826086956521741</v>
      </c>
    </row>
    <row r="23" spans="8:17" x14ac:dyDescent="0.25">
      <c r="H23" t="s">
        <v>58</v>
      </c>
    </row>
    <row r="24" spans="8:17" x14ac:dyDescent="0.25">
      <c r="H24" s="204" t="s">
        <v>348</v>
      </c>
      <c r="I24" s="204"/>
      <c r="J24" s="204"/>
      <c r="K24" s="204"/>
    </row>
    <row r="25" spans="8:17" x14ac:dyDescent="0.25">
      <c r="H25" t="s">
        <v>347</v>
      </c>
      <c r="I25" s="204"/>
      <c r="J25" s="204"/>
      <c r="K25" s="204"/>
    </row>
    <row r="26" spans="8:17" x14ac:dyDescent="0.25">
      <c r="H26" s="339" t="s">
        <v>371</v>
      </c>
      <c r="I26" s="204"/>
      <c r="J26" s="204"/>
      <c r="K26" s="204"/>
    </row>
    <row r="27" spans="8:17" x14ac:dyDescent="0.25">
      <c r="H27" t="s">
        <v>346</v>
      </c>
      <c r="I27" s="204"/>
      <c r="J27" s="204"/>
      <c r="K27" s="204"/>
    </row>
    <row r="28" spans="8:17" x14ac:dyDescent="0.25">
      <c r="H28" t="s">
        <v>345</v>
      </c>
      <c r="J28" s="204"/>
      <c r="K28" s="204"/>
      <c r="L28" s="204"/>
    </row>
    <row r="29" spans="8:17" x14ac:dyDescent="0.25">
      <c r="J29" s="204"/>
      <c r="K29" s="204"/>
      <c r="L29" s="204"/>
    </row>
    <row r="30" spans="8:17" x14ac:dyDescent="0.25">
      <c r="H30" s="204" t="s">
        <v>263</v>
      </c>
      <c r="J30" s="204"/>
      <c r="K30" s="204"/>
      <c r="L30" s="204"/>
    </row>
    <row r="31" spans="8:17" x14ac:dyDescent="0.25">
      <c r="J31" s="204"/>
      <c r="K31" s="204"/>
      <c r="L31" s="204"/>
    </row>
    <row r="33" spans="1:1" x14ac:dyDescent="0.25">
      <c r="A33" s="455" t="s">
        <v>28</v>
      </c>
    </row>
  </sheetData>
  <sortState xmlns:xlrd2="http://schemas.microsoft.com/office/spreadsheetml/2017/richdata2" ref="A3:F8">
    <sortCondition ref="F3:F8"/>
    <sortCondition ref="A3:A8"/>
  </sortState>
  <mergeCells count="11">
    <mergeCell ref="Q2:R2"/>
    <mergeCell ref="H14:H15"/>
    <mergeCell ref="I14:J14"/>
    <mergeCell ref="K14:O14"/>
    <mergeCell ref="P14:Q14"/>
    <mergeCell ref="D2:E2"/>
    <mergeCell ref="A12:D12"/>
    <mergeCell ref="H2:H3"/>
    <mergeCell ref="I2:J2"/>
    <mergeCell ref="K2:O2"/>
    <mergeCell ref="B2:C2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C9AAF-1309-4A8B-AAD8-731C8CD18048}">
  <dimension ref="A1:R32"/>
  <sheetViews>
    <sheetView workbookViewId="0">
      <selection activeCell="C17" sqref="C17"/>
    </sheetView>
  </sheetViews>
  <sheetFormatPr defaultRowHeight="14.3" x14ac:dyDescent="0.25"/>
  <cols>
    <col min="1" max="1" width="9.875" bestFit="1" customWidth="1"/>
    <col min="3" max="3" width="28.875" customWidth="1"/>
    <col min="8" max="8" width="9.875" bestFit="1" customWidth="1"/>
  </cols>
  <sheetData>
    <row r="1" spans="1:18" ht="14.95" customHeight="1" thickBot="1" x14ac:dyDescent="0.3">
      <c r="A1" s="173"/>
      <c r="B1" s="749" t="s">
        <v>54</v>
      </c>
      <c r="C1" s="750"/>
      <c r="D1" s="740" t="s">
        <v>55</v>
      </c>
      <c r="E1" s="741"/>
      <c r="F1" s="192" t="s">
        <v>56</v>
      </c>
      <c r="H1" s="744" t="s">
        <v>58</v>
      </c>
      <c r="I1" s="746" t="s">
        <v>92</v>
      </c>
      <c r="J1" s="747"/>
      <c r="K1" s="746" t="s">
        <v>93</v>
      </c>
      <c r="L1" s="748"/>
      <c r="M1" s="748"/>
      <c r="N1" s="748"/>
      <c r="O1" s="747"/>
      <c r="P1" s="263" t="s">
        <v>94</v>
      </c>
      <c r="Q1" s="746" t="s">
        <v>95</v>
      </c>
      <c r="R1" s="747"/>
    </row>
    <row r="2" spans="1:18" ht="14.95" customHeight="1" thickBot="1" x14ac:dyDescent="0.3">
      <c r="A2" s="691" t="s">
        <v>118</v>
      </c>
      <c r="B2" s="693">
        <v>4</v>
      </c>
      <c r="C2" s="674" t="s">
        <v>701</v>
      </c>
      <c r="D2" s="193">
        <f>Scotlandred</f>
        <v>0</v>
      </c>
      <c r="E2" s="194"/>
      <c r="F2" s="195">
        <f>SUM(B2+D2*2)</f>
        <v>4</v>
      </c>
      <c r="H2" s="745"/>
      <c r="I2" s="264" t="s">
        <v>4</v>
      </c>
      <c r="J2" s="264" t="s">
        <v>5</v>
      </c>
      <c r="K2" s="265" t="s">
        <v>96</v>
      </c>
      <c r="L2" s="266" t="s">
        <v>97</v>
      </c>
      <c r="M2" s="266" t="s">
        <v>98</v>
      </c>
      <c r="N2" s="267" t="s">
        <v>99</v>
      </c>
      <c r="O2" s="268" t="s">
        <v>100</v>
      </c>
      <c r="P2" s="269" t="s">
        <v>101</v>
      </c>
      <c r="Q2" s="265" t="s">
        <v>4</v>
      </c>
      <c r="R2" s="268" t="s">
        <v>5</v>
      </c>
    </row>
    <row r="3" spans="1:18" ht="14.95" customHeight="1" thickBot="1" x14ac:dyDescent="0.3">
      <c r="A3" s="84" t="s">
        <v>37</v>
      </c>
      <c r="B3" s="196">
        <v>8</v>
      </c>
      <c r="C3" s="344" t="s">
        <v>715</v>
      </c>
      <c r="D3" s="193">
        <v>0</v>
      </c>
      <c r="E3" s="194"/>
      <c r="F3" s="195">
        <f>SUM(B3+D3*2)</f>
        <v>8</v>
      </c>
      <c r="H3" s="84" t="s">
        <v>37</v>
      </c>
      <c r="I3" s="270">
        <v>3</v>
      </c>
      <c r="J3" s="270">
        <v>51</v>
      </c>
      <c r="K3" s="270">
        <v>66</v>
      </c>
      <c r="L3" s="270">
        <v>0</v>
      </c>
      <c r="M3" s="270">
        <v>0</v>
      </c>
      <c r="N3" s="270">
        <v>0</v>
      </c>
      <c r="O3" s="271">
        <f t="shared" ref="O3:O6" si="0">SUM(K3:N3)</f>
        <v>66</v>
      </c>
      <c r="P3" s="270">
        <v>0</v>
      </c>
      <c r="Q3" s="495">
        <f t="shared" ref="Q3" si="1">SUM(I3/O3)*10</f>
        <v>0.45454545454545459</v>
      </c>
      <c r="R3" s="494">
        <f t="shared" ref="R3" si="2">SUM(J3/O3)*10</f>
        <v>7.7272727272727266</v>
      </c>
    </row>
    <row r="4" spans="1:18" ht="14.95" customHeight="1" thickBot="1" x14ac:dyDescent="0.3">
      <c r="A4" s="692" t="s">
        <v>29</v>
      </c>
      <c r="B4" s="196">
        <v>9</v>
      </c>
      <c r="C4" s="497" t="s">
        <v>707</v>
      </c>
      <c r="D4" s="193">
        <f>Irelandred</f>
        <v>0</v>
      </c>
      <c r="E4" s="194"/>
      <c r="F4" s="195">
        <f>SUM(B4+D4*2)</f>
        <v>9</v>
      </c>
      <c r="H4" s="692" t="s">
        <v>29</v>
      </c>
      <c r="I4" s="270">
        <v>14</v>
      </c>
      <c r="J4" s="270">
        <v>28</v>
      </c>
      <c r="K4" s="270">
        <v>63</v>
      </c>
      <c r="L4" s="270">
        <v>9</v>
      </c>
      <c r="M4" s="270">
        <v>0</v>
      </c>
      <c r="N4" s="270">
        <v>0</v>
      </c>
      <c r="O4" s="271">
        <f t="shared" si="0"/>
        <v>72</v>
      </c>
      <c r="P4" s="270">
        <v>0</v>
      </c>
      <c r="Q4" s="495">
        <f t="shared" ref="Q4" si="3">SUM(I4/O4)*10</f>
        <v>1.9444444444444444</v>
      </c>
      <c r="R4" s="494">
        <f t="shared" ref="R4" si="4">SUM(J4/O4)*10</f>
        <v>3.8888888888888888</v>
      </c>
    </row>
    <row r="5" spans="1:18" ht="14.95" customHeight="1" thickBot="1" x14ac:dyDescent="0.3">
      <c r="A5" s="71" t="s">
        <v>177</v>
      </c>
      <c r="B5" s="197">
        <v>8</v>
      </c>
      <c r="C5" s="198" t="s">
        <v>714</v>
      </c>
      <c r="D5" s="193">
        <v>1</v>
      </c>
      <c r="E5" s="194" t="s">
        <v>655</v>
      </c>
      <c r="F5" s="195">
        <f>SUM(B5+D5*2)</f>
        <v>10</v>
      </c>
      <c r="H5" s="691" t="s">
        <v>118</v>
      </c>
      <c r="I5" s="270">
        <v>19</v>
      </c>
      <c r="J5" s="270">
        <v>0</v>
      </c>
      <c r="K5" s="270">
        <v>29</v>
      </c>
      <c r="L5" s="270">
        <v>0</v>
      </c>
      <c r="M5" s="270">
        <v>0</v>
      </c>
      <c r="N5" s="270">
        <v>0</v>
      </c>
      <c r="O5" s="271">
        <f t="shared" si="0"/>
        <v>29</v>
      </c>
      <c r="P5" s="270">
        <v>0</v>
      </c>
      <c r="Q5" s="495">
        <f t="shared" ref="Q5" si="5">SUM(I5/O5)*10</f>
        <v>6.5517241379310338</v>
      </c>
      <c r="R5" s="494">
        <f t="shared" ref="R5" si="6">SUM(J5/O5)*10</f>
        <v>0</v>
      </c>
    </row>
    <row r="6" spans="1:18" ht="14.95" customHeight="1" thickBot="1" x14ac:dyDescent="0.3">
      <c r="A6" s="288" t="s">
        <v>57</v>
      </c>
      <c r="B6" s="196">
        <f>SUM(B2:B5)</f>
        <v>29</v>
      </c>
      <c r="C6" s="199"/>
      <c r="D6" s="200">
        <f>SUM(D2:D5)</f>
        <v>1</v>
      </c>
      <c r="E6" s="201"/>
      <c r="F6" s="192" t="s">
        <v>58</v>
      </c>
      <c r="H6" s="71" t="s">
        <v>177</v>
      </c>
      <c r="I6" s="270">
        <v>14</v>
      </c>
      <c r="J6" s="270">
        <v>31</v>
      </c>
      <c r="K6" s="270">
        <v>58</v>
      </c>
      <c r="L6" s="270">
        <v>10</v>
      </c>
      <c r="M6" s="270">
        <v>0</v>
      </c>
      <c r="N6" s="270">
        <v>0</v>
      </c>
      <c r="O6" s="271">
        <f t="shared" si="0"/>
        <v>68</v>
      </c>
      <c r="P6" s="270">
        <v>0</v>
      </c>
      <c r="Q6" s="495">
        <f t="shared" ref="Q6:Q7" si="7">SUM(I6/O6)*10</f>
        <v>2.0588235294117645</v>
      </c>
      <c r="R6" s="494">
        <f t="shared" ref="R6:R7" si="8">SUM(J6/O6)*10</f>
        <v>4.5588235294117645</v>
      </c>
    </row>
    <row r="7" spans="1:18" ht="14.95" customHeight="1" thickBot="1" x14ac:dyDescent="0.3">
      <c r="D7" s="202"/>
      <c r="E7" s="203"/>
      <c r="H7" s="277" t="s">
        <v>57</v>
      </c>
      <c r="I7" s="272">
        <f t="shared" ref="I7:P7" si="9">SUM(I3:I6)</f>
        <v>50</v>
      </c>
      <c r="J7" s="272">
        <f t="shared" si="9"/>
        <v>110</v>
      </c>
      <c r="K7" s="272">
        <f t="shared" si="9"/>
        <v>216</v>
      </c>
      <c r="L7" s="272">
        <f t="shared" si="9"/>
        <v>19</v>
      </c>
      <c r="M7" s="272">
        <f t="shared" si="9"/>
        <v>0</v>
      </c>
      <c r="N7" s="272">
        <f t="shared" si="9"/>
        <v>0</v>
      </c>
      <c r="O7" s="272">
        <f t="shared" si="9"/>
        <v>235</v>
      </c>
      <c r="P7" s="272">
        <f t="shared" si="9"/>
        <v>0</v>
      </c>
      <c r="Q7" s="275">
        <f t="shared" si="7"/>
        <v>2.1276595744680851</v>
      </c>
      <c r="R7" s="276">
        <f t="shared" si="8"/>
        <v>4.6808510638297873</v>
      </c>
    </row>
    <row r="8" spans="1:18" ht="14.95" customHeight="1" x14ac:dyDescent="0.25">
      <c r="A8" s="204" t="s">
        <v>59</v>
      </c>
      <c r="B8" s="204"/>
    </row>
    <row r="9" spans="1:18" ht="14.95" customHeight="1" x14ac:dyDescent="0.25">
      <c r="A9" s="742" t="s">
        <v>717</v>
      </c>
      <c r="B9" s="742"/>
      <c r="C9" s="743"/>
      <c r="D9" s="743"/>
      <c r="H9" s="204" t="s">
        <v>272</v>
      </c>
    </row>
    <row r="10" spans="1:18" ht="14.95" customHeight="1" thickBot="1" x14ac:dyDescent="0.3">
      <c r="A10" s="455"/>
      <c r="B10" s="15"/>
      <c r="E10" t="s">
        <v>58</v>
      </c>
      <c r="I10" s="204"/>
    </row>
    <row r="11" spans="1:18" ht="14.95" customHeight="1" thickBot="1" x14ac:dyDescent="0.3">
      <c r="H11" s="744" t="s">
        <v>58</v>
      </c>
      <c r="I11" s="746" t="s">
        <v>92</v>
      </c>
      <c r="J11" s="747"/>
      <c r="K11" s="746" t="s">
        <v>58</v>
      </c>
      <c r="L11" s="748"/>
      <c r="M11" s="748"/>
      <c r="N11" s="748"/>
      <c r="O11" s="747"/>
      <c r="P11" s="746" t="s">
        <v>95</v>
      </c>
      <c r="Q11" s="747"/>
    </row>
    <row r="12" spans="1:18" ht="14.95" customHeight="1" thickBot="1" x14ac:dyDescent="0.3">
      <c r="H12" s="745"/>
      <c r="I12" s="264" t="s">
        <v>4</v>
      </c>
      <c r="J12" s="264" t="s">
        <v>5</v>
      </c>
      <c r="K12" s="265" t="s">
        <v>102</v>
      </c>
      <c r="L12" s="266" t="s">
        <v>103</v>
      </c>
      <c r="M12" s="266" t="s">
        <v>344</v>
      </c>
      <c r="N12" s="267" t="s">
        <v>702</v>
      </c>
      <c r="O12" s="268" t="s">
        <v>100</v>
      </c>
      <c r="P12" s="265" t="s">
        <v>4</v>
      </c>
      <c r="Q12" s="268" t="s">
        <v>5</v>
      </c>
    </row>
    <row r="13" spans="1:18" ht="14.95" customHeight="1" thickBot="1" x14ac:dyDescent="0.3">
      <c r="H13" s="84" t="s">
        <v>37</v>
      </c>
      <c r="I13" s="270">
        <v>21</v>
      </c>
      <c r="J13" s="270">
        <v>26</v>
      </c>
      <c r="K13" s="270">
        <v>44</v>
      </c>
      <c r="L13" s="270">
        <v>6</v>
      </c>
      <c r="M13" s="270">
        <v>0</v>
      </c>
      <c r="N13" s="270">
        <v>0</v>
      </c>
      <c r="O13" s="271">
        <f t="shared" ref="O13:O16" si="10">SUM(K13:N13)</f>
        <v>50</v>
      </c>
      <c r="P13" s="495">
        <f t="shared" ref="P13" si="11">SUM(I13/O13)*10</f>
        <v>4.2</v>
      </c>
      <c r="Q13" s="494">
        <f t="shared" ref="Q13" si="12">SUM(J13/O13)*10</f>
        <v>5.2</v>
      </c>
    </row>
    <row r="14" spans="1:18" ht="14.95" customHeight="1" thickBot="1" x14ac:dyDescent="0.3">
      <c r="H14" s="692" t="s">
        <v>29</v>
      </c>
      <c r="I14" s="270">
        <v>20</v>
      </c>
      <c r="J14" s="270">
        <v>0</v>
      </c>
      <c r="K14" s="270">
        <v>28</v>
      </c>
      <c r="L14" s="270">
        <v>2</v>
      </c>
      <c r="M14" s="270">
        <v>0</v>
      </c>
      <c r="N14" s="270">
        <v>0</v>
      </c>
      <c r="O14" s="271">
        <f t="shared" si="10"/>
        <v>30</v>
      </c>
      <c r="P14" s="495">
        <f t="shared" ref="P14" si="13">SUM(I14/O14)*10</f>
        <v>6.6666666666666661</v>
      </c>
      <c r="Q14" s="494">
        <f t="shared" ref="Q14" si="14">SUM(J14/O14)*10</f>
        <v>0</v>
      </c>
    </row>
    <row r="15" spans="1:18" ht="14.95" customHeight="1" thickBot="1" x14ac:dyDescent="0.3">
      <c r="H15" s="691" t="s">
        <v>118</v>
      </c>
      <c r="I15" s="270">
        <v>38</v>
      </c>
      <c r="J15" s="270">
        <v>14</v>
      </c>
      <c r="K15" s="270">
        <v>67</v>
      </c>
      <c r="L15" s="270">
        <v>9</v>
      </c>
      <c r="M15" s="270">
        <v>0</v>
      </c>
      <c r="N15" s="270">
        <v>0</v>
      </c>
      <c r="O15" s="271">
        <f t="shared" si="10"/>
        <v>76</v>
      </c>
      <c r="P15" s="495">
        <f t="shared" ref="P15" si="15">SUM(I15/O15)*10</f>
        <v>5</v>
      </c>
      <c r="Q15" s="494">
        <f t="shared" ref="Q15" si="16">SUM(J15/O15)*10</f>
        <v>1.8421052631578947</v>
      </c>
    </row>
    <row r="16" spans="1:18" ht="14.95" customHeight="1" thickBot="1" x14ac:dyDescent="0.3">
      <c r="H16" s="71" t="s">
        <v>177</v>
      </c>
      <c r="I16" s="270">
        <v>31</v>
      </c>
      <c r="J16" s="270">
        <v>3</v>
      </c>
      <c r="K16" s="270">
        <v>77</v>
      </c>
      <c r="L16" s="270">
        <v>0</v>
      </c>
      <c r="M16" s="270">
        <v>0</v>
      </c>
      <c r="N16" s="270">
        <v>0</v>
      </c>
      <c r="O16" s="271">
        <f t="shared" si="10"/>
        <v>77</v>
      </c>
      <c r="P16" s="495">
        <f t="shared" ref="P16" si="17">SUM(I16/O16)*10</f>
        <v>4.0259740259740262</v>
      </c>
      <c r="Q16" s="494">
        <f t="shared" ref="Q16" si="18">SUM(J16/O16)*10</f>
        <v>0.38961038961038963</v>
      </c>
    </row>
    <row r="17" spans="1:17" ht="14.95" customHeight="1" thickBot="1" x14ac:dyDescent="0.3">
      <c r="H17" s="277" t="s">
        <v>57</v>
      </c>
      <c r="I17" s="272">
        <f t="shared" ref="I17:O17" si="19">SUM(I13:I16)</f>
        <v>110</v>
      </c>
      <c r="J17" s="273">
        <f t="shared" si="19"/>
        <v>43</v>
      </c>
      <c r="K17" s="272">
        <f t="shared" si="19"/>
        <v>216</v>
      </c>
      <c r="L17" s="274">
        <f t="shared" si="19"/>
        <v>17</v>
      </c>
      <c r="M17" s="274">
        <f t="shared" si="19"/>
        <v>0</v>
      </c>
      <c r="N17" s="274">
        <f t="shared" si="19"/>
        <v>0</v>
      </c>
      <c r="O17" s="273">
        <f t="shared" si="19"/>
        <v>233</v>
      </c>
      <c r="P17" s="275">
        <f t="shared" ref="P17" si="20">SUM(I17/O17)*10</f>
        <v>4.7210300429184553</v>
      </c>
      <c r="Q17" s="276">
        <f t="shared" ref="Q17" si="21">SUM(J17/O17)*10</f>
        <v>1.8454935622317596</v>
      </c>
    </row>
    <row r="18" spans="1:17" ht="14.95" customHeight="1" x14ac:dyDescent="0.25">
      <c r="H18" t="s">
        <v>58</v>
      </c>
    </row>
    <row r="19" spans="1:17" ht="14.95" customHeight="1" x14ac:dyDescent="0.25">
      <c r="H19" s="204" t="s">
        <v>348</v>
      </c>
      <c r="I19" s="204"/>
      <c r="J19" s="204"/>
      <c r="K19" s="204"/>
    </row>
    <row r="20" spans="1:17" ht="14.95" customHeight="1" x14ac:dyDescent="0.25">
      <c r="H20" t="s">
        <v>691</v>
      </c>
      <c r="I20" s="204"/>
      <c r="J20" s="204"/>
      <c r="K20" s="204"/>
    </row>
    <row r="21" spans="1:17" ht="14.95" customHeight="1" x14ac:dyDescent="0.25">
      <c r="H21" t="s">
        <v>716</v>
      </c>
      <c r="I21" s="204"/>
      <c r="J21" s="204"/>
      <c r="K21" s="204"/>
    </row>
    <row r="22" spans="1:17" ht="14.95" customHeight="1" x14ac:dyDescent="0.25">
      <c r="I22" s="204"/>
      <c r="J22" s="204"/>
      <c r="K22" s="204"/>
    </row>
    <row r="23" spans="1:17" ht="14.95" customHeight="1" x14ac:dyDescent="0.25">
      <c r="J23" s="204"/>
      <c r="K23" s="204"/>
      <c r="L23" s="204"/>
    </row>
    <row r="24" spans="1:17" ht="14.95" customHeight="1" x14ac:dyDescent="0.25">
      <c r="J24" s="204"/>
      <c r="K24" s="204"/>
      <c r="L24" s="204"/>
    </row>
    <row r="25" spans="1:17" ht="14.95" customHeight="1" x14ac:dyDescent="0.25">
      <c r="H25" s="204" t="s">
        <v>263</v>
      </c>
      <c r="J25" s="204"/>
      <c r="K25" s="204"/>
      <c r="L25" s="204"/>
    </row>
    <row r="26" spans="1:17" ht="14.95" customHeight="1" x14ac:dyDescent="0.25">
      <c r="H26" t="s">
        <v>683</v>
      </c>
      <c r="J26" s="204"/>
      <c r="K26" s="204"/>
      <c r="L26" s="204"/>
    </row>
    <row r="27" spans="1:17" ht="14.95" customHeight="1" x14ac:dyDescent="0.25"/>
    <row r="28" spans="1:17" ht="14.95" customHeight="1" x14ac:dyDescent="0.25"/>
    <row r="29" spans="1:17" ht="14.95" customHeight="1" x14ac:dyDescent="0.25"/>
    <row r="30" spans="1:17" ht="14.95" customHeight="1" x14ac:dyDescent="0.25">
      <c r="A30" s="455" t="s">
        <v>28</v>
      </c>
    </row>
    <row r="31" spans="1:17" ht="14.95" customHeight="1" x14ac:dyDescent="0.25"/>
    <row r="32" spans="1:17" ht="14.95" customHeight="1" x14ac:dyDescent="0.25"/>
  </sheetData>
  <sortState xmlns:xlrd2="http://schemas.microsoft.com/office/spreadsheetml/2017/richdata2" ref="A2:F5">
    <sortCondition ref="F2:F5"/>
  </sortState>
  <mergeCells count="11">
    <mergeCell ref="A9:D9"/>
    <mergeCell ref="H11:H12"/>
    <mergeCell ref="I11:J11"/>
    <mergeCell ref="K11:O11"/>
    <mergeCell ref="P11:Q11"/>
    <mergeCell ref="Q1:R1"/>
    <mergeCell ref="B1:C1"/>
    <mergeCell ref="D1:E1"/>
    <mergeCell ref="H1:H2"/>
    <mergeCell ref="I1:J1"/>
    <mergeCell ref="K1:O1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0645A-8E92-462E-948C-5473B779ECDE}">
  <dimension ref="A1:R51"/>
  <sheetViews>
    <sheetView topLeftCell="A10" workbookViewId="0">
      <selection activeCell="A2" sqref="A2:F17"/>
    </sheetView>
  </sheetViews>
  <sheetFormatPr defaultRowHeight="14.3" x14ac:dyDescent="0.25"/>
  <cols>
    <col min="3" max="3" width="30.75" customWidth="1"/>
  </cols>
  <sheetData>
    <row r="1" spans="1:18" ht="14.95" thickBot="1" x14ac:dyDescent="0.3"/>
    <row r="2" spans="1:18" ht="17" thickBot="1" x14ac:dyDescent="0.3">
      <c r="A2" s="173"/>
      <c r="B2" s="749" t="s">
        <v>54</v>
      </c>
      <c r="C2" s="750"/>
      <c r="D2" s="740" t="s">
        <v>55</v>
      </c>
      <c r="E2" s="741"/>
      <c r="F2" s="192" t="s">
        <v>56</v>
      </c>
      <c r="H2" s="744" t="s">
        <v>58</v>
      </c>
      <c r="I2" s="746" t="s">
        <v>92</v>
      </c>
      <c r="J2" s="747"/>
      <c r="K2" s="746" t="s">
        <v>93</v>
      </c>
      <c r="L2" s="748"/>
      <c r="M2" s="748"/>
      <c r="N2" s="748"/>
      <c r="O2" s="747"/>
      <c r="P2" s="263" t="s">
        <v>94</v>
      </c>
      <c r="Q2" s="746" t="s">
        <v>95</v>
      </c>
      <c r="R2" s="747"/>
    </row>
    <row r="3" spans="1:18" ht="14.95" customHeight="1" thickBot="1" x14ac:dyDescent="0.3">
      <c r="A3" s="701" t="s">
        <v>38</v>
      </c>
      <c r="B3" s="660">
        <v>0</v>
      </c>
      <c r="C3" s="706"/>
      <c r="D3" s="703">
        <v>0</v>
      </c>
      <c r="E3" s="697"/>
      <c r="F3" s="192">
        <f t="shared" ref="F3:F16" si="0">SUM(B3+D3*2)</f>
        <v>0</v>
      </c>
      <c r="H3" s="745"/>
      <c r="I3" s="264" t="s">
        <v>4</v>
      </c>
      <c r="J3" s="264" t="s">
        <v>5</v>
      </c>
      <c r="K3" s="265" t="s">
        <v>96</v>
      </c>
      <c r="L3" s="266" t="s">
        <v>97</v>
      </c>
      <c r="M3" s="266" t="s">
        <v>98</v>
      </c>
      <c r="N3" s="267" t="s">
        <v>99</v>
      </c>
      <c r="O3" s="268" t="s">
        <v>100</v>
      </c>
      <c r="P3" s="269" t="s">
        <v>101</v>
      </c>
      <c r="Q3" s="265" t="s">
        <v>4</v>
      </c>
      <c r="R3" s="268" t="s">
        <v>5</v>
      </c>
    </row>
    <row r="4" spans="1:18" ht="14.95" customHeight="1" thickBot="1" x14ac:dyDescent="0.3">
      <c r="A4" s="59" t="s">
        <v>39</v>
      </c>
      <c r="B4" s="660">
        <v>0</v>
      </c>
      <c r="C4" s="716"/>
      <c r="D4" s="707">
        <f>Irelandred</f>
        <v>0</v>
      </c>
      <c r="E4" s="709"/>
      <c r="F4" s="195">
        <f t="shared" si="0"/>
        <v>0</v>
      </c>
      <c r="H4" s="710" t="s">
        <v>37</v>
      </c>
      <c r="I4" s="270">
        <v>21</v>
      </c>
      <c r="J4" s="270">
        <v>45</v>
      </c>
      <c r="K4" s="270">
        <v>44</v>
      </c>
      <c r="L4" s="270">
        <v>12</v>
      </c>
      <c r="M4" s="270">
        <v>9</v>
      </c>
      <c r="N4" s="270">
        <v>0</v>
      </c>
      <c r="O4" s="271">
        <f t="shared" ref="O4:O17" si="1">SUM(K4:N4)</f>
        <v>65</v>
      </c>
      <c r="P4" s="270">
        <v>0</v>
      </c>
      <c r="Q4" s="495">
        <f>SUM(I4/O4)*10</f>
        <v>3.2307692307692308</v>
      </c>
      <c r="R4" s="494">
        <f>SUM(J4/O4)*10</f>
        <v>6.9230769230769234</v>
      </c>
    </row>
    <row r="5" spans="1:18" ht="14.95" customHeight="1" thickBot="1" x14ac:dyDescent="0.3">
      <c r="A5" s="287" t="s">
        <v>33</v>
      </c>
      <c r="B5" s="660">
        <v>0</v>
      </c>
      <c r="C5" s="706"/>
      <c r="D5" s="707">
        <v>0</v>
      </c>
      <c r="E5" s="709"/>
      <c r="F5" s="195">
        <f t="shared" si="0"/>
        <v>0</v>
      </c>
      <c r="H5" s="711" t="s">
        <v>29</v>
      </c>
      <c r="I5" s="270">
        <v>0</v>
      </c>
      <c r="J5" s="270">
        <v>28</v>
      </c>
      <c r="K5" s="270">
        <v>34</v>
      </c>
      <c r="L5" s="270">
        <v>3</v>
      </c>
      <c r="M5" s="270">
        <v>0</v>
      </c>
      <c r="N5" s="270">
        <v>0</v>
      </c>
      <c r="O5" s="271">
        <f t="shared" si="1"/>
        <v>37</v>
      </c>
      <c r="P5" s="270">
        <v>0</v>
      </c>
      <c r="Q5" s="495">
        <f t="shared" ref="Q5:Q8" si="2">SUM(I5/O5)*10</f>
        <v>0</v>
      </c>
      <c r="R5" s="494">
        <f t="shared" ref="R5:R8" si="3">SUM(J5/O5)*10</f>
        <v>7.5675675675675684</v>
      </c>
    </row>
    <row r="6" spans="1:18" ht="14.95" customHeight="1" thickBot="1" x14ac:dyDescent="0.3">
      <c r="A6" s="478" t="s">
        <v>120</v>
      </c>
      <c r="B6" s="660">
        <v>0</v>
      </c>
      <c r="C6" s="706"/>
      <c r="D6" s="704">
        <v>0</v>
      </c>
      <c r="E6" s="697"/>
      <c r="F6" s="192">
        <f t="shared" si="0"/>
        <v>0</v>
      </c>
      <c r="H6" s="282" t="s">
        <v>30</v>
      </c>
      <c r="I6" s="270">
        <v>7</v>
      </c>
      <c r="J6" s="270">
        <v>10</v>
      </c>
      <c r="K6" s="270">
        <v>20</v>
      </c>
      <c r="L6" s="270">
        <v>0</v>
      </c>
      <c r="M6" s="270">
        <v>0</v>
      </c>
      <c r="N6" s="270">
        <v>0</v>
      </c>
      <c r="O6" s="271">
        <f t="shared" si="1"/>
        <v>20</v>
      </c>
      <c r="P6" s="270">
        <v>0</v>
      </c>
      <c r="Q6" s="495">
        <f t="shared" si="2"/>
        <v>3.5</v>
      </c>
      <c r="R6" s="494">
        <f t="shared" si="3"/>
        <v>5</v>
      </c>
    </row>
    <row r="7" spans="1:18" ht="14.95" customHeight="1" thickBot="1" x14ac:dyDescent="0.3">
      <c r="A7" s="700" t="s">
        <v>36</v>
      </c>
      <c r="B7" s="660">
        <v>1</v>
      </c>
      <c r="C7" s="706" t="s">
        <v>816</v>
      </c>
      <c r="D7" s="704">
        <v>0</v>
      </c>
      <c r="E7" s="697"/>
      <c r="F7" s="192">
        <f t="shared" si="0"/>
        <v>1</v>
      </c>
      <c r="H7" s="712" t="s">
        <v>31</v>
      </c>
      <c r="I7" s="270">
        <v>10</v>
      </c>
      <c r="J7" s="270">
        <v>42</v>
      </c>
      <c r="K7" s="270">
        <v>67</v>
      </c>
      <c r="L7" s="270">
        <v>10</v>
      </c>
      <c r="M7" s="270">
        <v>0</v>
      </c>
      <c r="N7" s="270">
        <v>0</v>
      </c>
      <c r="O7" s="271">
        <f t="shared" si="1"/>
        <v>77</v>
      </c>
      <c r="P7" s="270">
        <v>0</v>
      </c>
      <c r="Q7" s="676">
        <f t="shared" si="2"/>
        <v>1.2987012987012987</v>
      </c>
      <c r="R7" s="677">
        <f t="shared" si="3"/>
        <v>5.4545454545454541</v>
      </c>
    </row>
    <row r="8" spans="1:18" ht="14.95" customHeight="1" thickBot="1" x14ac:dyDescent="0.3">
      <c r="A8" s="286" t="s">
        <v>30</v>
      </c>
      <c r="B8" s="693">
        <v>2</v>
      </c>
      <c r="C8" s="705" t="s">
        <v>880</v>
      </c>
      <c r="D8" s="707">
        <v>0</v>
      </c>
      <c r="E8" s="709"/>
      <c r="F8" s="195">
        <f t="shared" si="0"/>
        <v>2</v>
      </c>
      <c r="H8" s="248" t="s">
        <v>34</v>
      </c>
      <c r="I8" s="270">
        <v>11</v>
      </c>
      <c r="J8" s="270">
        <v>13</v>
      </c>
      <c r="K8" s="270">
        <v>32</v>
      </c>
      <c r="L8" s="270">
        <v>0</v>
      </c>
      <c r="M8" s="270">
        <v>0</v>
      </c>
      <c r="N8" s="270">
        <v>0</v>
      </c>
      <c r="O8" s="271">
        <f t="shared" si="1"/>
        <v>32</v>
      </c>
      <c r="P8" s="270">
        <v>0</v>
      </c>
      <c r="Q8" s="495">
        <f t="shared" si="2"/>
        <v>3.4375</v>
      </c>
      <c r="R8" s="494">
        <f t="shared" si="3"/>
        <v>4.0625</v>
      </c>
    </row>
    <row r="9" spans="1:18" ht="14.95" customHeight="1" thickBot="1" x14ac:dyDescent="0.3">
      <c r="A9" s="699" t="s">
        <v>118</v>
      </c>
      <c r="B9" s="660">
        <v>2</v>
      </c>
      <c r="C9" s="706" t="s">
        <v>844</v>
      </c>
      <c r="D9" s="704">
        <v>0</v>
      </c>
      <c r="E9" s="697"/>
      <c r="F9" s="192">
        <f t="shared" si="0"/>
        <v>2</v>
      </c>
      <c r="H9" s="713" t="s">
        <v>38</v>
      </c>
      <c r="I9" s="726">
        <v>0</v>
      </c>
      <c r="J9" s="726">
        <v>0</v>
      </c>
      <c r="K9" s="726">
        <v>0</v>
      </c>
      <c r="L9" s="726">
        <v>0</v>
      </c>
      <c r="M9" s="726">
        <v>0</v>
      </c>
      <c r="N9" s="726">
        <v>0</v>
      </c>
      <c r="O9" s="727">
        <f t="shared" si="1"/>
        <v>0</v>
      </c>
      <c r="P9" s="726">
        <v>0</v>
      </c>
      <c r="Q9" s="655">
        <v>0</v>
      </c>
      <c r="R9" s="656">
        <v>0</v>
      </c>
    </row>
    <row r="10" spans="1:18" ht="14.95" customHeight="1" thickBot="1" x14ac:dyDescent="0.3">
      <c r="A10" s="249" t="s">
        <v>34</v>
      </c>
      <c r="B10" s="660">
        <v>0</v>
      </c>
      <c r="C10" s="716"/>
      <c r="D10" s="707">
        <v>1</v>
      </c>
      <c r="E10" s="709" t="s">
        <v>820</v>
      </c>
      <c r="F10" s="195">
        <f t="shared" si="0"/>
        <v>2</v>
      </c>
      <c r="H10" s="59" t="s">
        <v>39</v>
      </c>
      <c r="I10" s="726">
        <v>0</v>
      </c>
      <c r="J10" s="726">
        <v>0</v>
      </c>
      <c r="K10" s="726">
        <v>0</v>
      </c>
      <c r="L10" s="726">
        <v>0</v>
      </c>
      <c r="M10" s="726">
        <v>0</v>
      </c>
      <c r="N10" s="726">
        <v>0</v>
      </c>
      <c r="O10" s="727">
        <f t="shared" si="1"/>
        <v>0</v>
      </c>
      <c r="P10" s="726">
        <v>0</v>
      </c>
      <c r="Q10" s="655">
        <v>0</v>
      </c>
      <c r="R10" s="656">
        <v>0</v>
      </c>
    </row>
    <row r="11" spans="1:18" ht="14.95" customHeight="1" thickBot="1" x14ac:dyDescent="0.3">
      <c r="A11" s="9" t="s">
        <v>32</v>
      </c>
      <c r="B11" s="693">
        <v>4</v>
      </c>
      <c r="C11" s="674" t="s">
        <v>875</v>
      </c>
      <c r="D11" s="193">
        <f>Walesred</f>
        <v>0</v>
      </c>
      <c r="E11" s="194"/>
      <c r="F11" s="195">
        <f t="shared" si="0"/>
        <v>4</v>
      </c>
      <c r="H11" s="287" t="s">
        <v>33</v>
      </c>
      <c r="I11" s="726">
        <v>0</v>
      </c>
      <c r="J11" s="726">
        <v>0</v>
      </c>
      <c r="K11" s="726">
        <v>0</v>
      </c>
      <c r="L11" s="726">
        <v>0</v>
      </c>
      <c r="M11" s="726">
        <v>0</v>
      </c>
      <c r="N11" s="726">
        <v>0</v>
      </c>
      <c r="O11" s="727">
        <f t="shared" si="1"/>
        <v>0</v>
      </c>
      <c r="P11" s="726">
        <v>0</v>
      </c>
      <c r="Q11" s="655">
        <v>0</v>
      </c>
      <c r="R11" s="656">
        <v>0</v>
      </c>
    </row>
    <row r="12" spans="1:18" ht="14.95" customHeight="1" thickBot="1" x14ac:dyDescent="0.3">
      <c r="A12" s="698" t="s">
        <v>29</v>
      </c>
      <c r="B12" s="196">
        <v>5</v>
      </c>
      <c r="C12" s="199" t="s">
        <v>874</v>
      </c>
      <c r="D12" s="708">
        <v>0</v>
      </c>
      <c r="E12" s="702"/>
      <c r="F12" s="192">
        <f t="shared" si="0"/>
        <v>5</v>
      </c>
      <c r="H12" s="700" t="s">
        <v>36</v>
      </c>
      <c r="I12" s="270">
        <v>0</v>
      </c>
      <c r="J12" s="270">
        <v>7</v>
      </c>
      <c r="K12" s="270">
        <v>10</v>
      </c>
      <c r="L12" s="270">
        <v>0</v>
      </c>
      <c r="M12" s="270">
        <v>0</v>
      </c>
      <c r="N12" s="270">
        <v>0</v>
      </c>
      <c r="O12" s="271">
        <f t="shared" si="1"/>
        <v>10</v>
      </c>
      <c r="P12" s="270">
        <v>0</v>
      </c>
      <c r="Q12" s="495">
        <f t="shared" ref="Q12:Q17" si="4">SUM(I12/O12)*10</f>
        <v>0</v>
      </c>
      <c r="R12" s="494">
        <f t="shared" ref="R12:R17" si="5">SUM(J12/O12)*10</f>
        <v>7</v>
      </c>
    </row>
    <row r="13" spans="1:18" ht="14.95" customHeight="1" thickBot="1" x14ac:dyDescent="0.3">
      <c r="A13" s="80" t="s">
        <v>37</v>
      </c>
      <c r="B13" s="196">
        <v>3</v>
      </c>
      <c r="C13" s="717" t="s">
        <v>843</v>
      </c>
      <c r="D13" s="708">
        <v>1</v>
      </c>
      <c r="E13" s="702" t="s">
        <v>842</v>
      </c>
      <c r="F13" s="192">
        <f t="shared" si="0"/>
        <v>5</v>
      </c>
      <c r="H13" s="699" t="s">
        <v>118</v>
      </c>
      <c r="I13" s="270">
        <v>0</v>
      </c>
      <c r="J13" s="270">
        <v>21</v>
      </c>
      <c r="K13" s="270">
        <v>18</v>
      </c>
      <c r="L13" s="270">
        <v>0</v>
      </c>
      <c r="M13" s="270">
        <v>0</v>
      </c>
      <c r="N13" s="270">
        <v>0</v>
      </c>
      <c r="O13" s="271">
        <f t="shared" si="1"/>
        <v>18</v>
      </c>
      <c r="P13" s="270">
        <v>0</v>
      </c>
      <c r="Q13" s="495">
        <f t="shared" si="4"/>
        <v>0</v>
      </c>
      <c r="R13" s="494">
        <f t="shared" si="5"/>
        <v>11.666666666666668</v>
      </c>
    </row>
    <row r="14" spans="1:18" ht="14.95" customHeight="1" thickBot="1" x14ac:dyDescent="0.3">
      <c r="A14" s="120" t="s">
        <v>35</v>
      </c>
      <c r="B14" s="197">
        <v>6</v>
      </c>
      <c r="C14" s="198" t="s">
        <v>845</v>
      </c>
      <c r="D14" s="193">
        <f>Scotlandred</f>
        <v>0</v>
      </c>
      <c r="E14" s="194"/>
      <c r="F14" s="195">
        <f t="shared" si="0"/>
        <v>6</v>
      </c>
      <c r="H14" s="67" t="s">
        <v>177</v>
      </c>
      <c r="I14" s="270">
        <v>26</v>
      </c>
      <c r="J14" s="270">
        <v>34</v>
      </c>
      <c r="K14" s="270">
        <v>86</v>
      </c>
      <c r="L14" s="270">
        <v>10</v>
      </c>
      <c r="M14" s="270">
        <v>0</v>
      </c>
      <c r="N14" s="270">
        <v>0</v>
      </c>
      <c r="O14" s="271">
        <f t="shared" si="1"/>
        <v>96</v>
      </c>
      <c r="P14" s="270">
        <v>0</v>
      </c>
      <c r="Q14" s="495">
        <f t="shared" si="4"/>
        <v>2.708333333333333</v>
      </c>
      <c r="R14" s="494">
        <f t="shared" si="5"/>
        <v>3.541666666666667</v>
      </c>
    </row>
    <row r="15" spans="1:18" ht="14.95" customHeight="1" thickBot="1" x14ac:dyDescent="0.3">
      <c r="A15" s="67" t="s">
        <v>177</v>
      </c>
      <c r="B15" s="196">
        <v>2</v>
      </c>
      <c r="C15" s="199" t="s">
        <v>821</v>
      </c>
      <c r="D15" s="708">
        <v>2</v>
      </c>
      <c r="E15" s="722" t="s">
        <v>883</v>
      </c>
      <c r="F15" s="192">
        <f t="shared" si="0"/>
        <v>6</v>
      </c>
      <c r="H15" s="478" t="s">
        <v>120</v>
      </c>
      <c r="I15" s="726">
        <v>0</v>
      </c>
      <c r="J15" s="726">
        <v>0</v>
      </c>
      <c r="K15" s="726">
        <v>0</v>
      </c>
      <c r="L15" s="726">
        <v>0</v>
      </c>
      <c r="M15" s="726">
        <v>0</v>
      </c>
      <c r="N15" s="726">
        <v>0</v>
      </c>
      <c r="O15" s="727">
        <f t="shared" si="1"/>
        <v>0</v>
      </c>
      <c r="P15" s="726">
        <v>0</v>
      </c>
      <c r="Q15" s="655">
        <v>0</v>
      </c>
      <c r="R15" s="656">
        <v>0</v>
      </c>
    </row>
    <row r="16" spans="1:18" ht="14.95" customHeight="1" thickBot="1" x14ac:dyDescent="0.3">
      <c r="A16" s="41" t="s">
        <v>31</v>
      </c>
      <c r="B16" s="196">
        <v>5</v>
      </c>
      <c r="C16" s="199" t="s">
        <v>827</v>
      </c>
      <c r="D16" s="708">
        <v>1</v>
      </c>
      <c r="E16" s="722" t="s">
        <v>815</v>
      </c>
      <c r="F16" s="192">
        <f t="shared" si="0"/>
        <v>7</v>
      </c>
      <c r="H16" s="120" t="s">
        <v>35</v>
      </c>
      <c r="I16" s="270">
        <v>0</v>
      </c>
      <c r="J16" s="270">
        <v>21</v>
      </c>
      <c r="K16" s="270">
        <v>30</v>
      </c>
      <c r="L16" s="270">
        <v>0</v>
      </c>
      <c r="M16" s="270">
        <v>0</v>
      </c>
      <c r="N16" s="270">
        <v>0</v>
      </c>
      <c r="O16" s="271">
        <f t="shared" si="1"/>
        <v>30</v>
      </c>
      <c r="P16" s="270">
        <v>0</v>
      </c>
      <c r="Q16" s="495">
        <f t="shared" si="4"/>
        <v>0</v>
      </c>
      <c r="R16" s="494">
        <f t="shared" si="5"/>
        <v>7</v>
      </c>
    </row>
    <row r="17" spans="1:18" ht="14.95" thickBot="1" x14ac:dyDescent="0.3">
      <c r="A17" s="288" t="s">
        <v>57</v>
      </c>
      <c r="B17" s="196">
        <f>SUM(B11:B16)</f>
        <v>25</v>
      </c>
      <c r="C17" s="199"/>
      <c r="D17" s="200">
        <f>SUM(D11:D16)</f>
        <v>4</v>
      </c>
      <c r="E17" s="201"/>
      <c r="F17" s="192" t="s">
        <v>58</v>
      </c>
      <c r="H17" s="9" t="s">
        <v>32</v>
      </c>
      <c r="I17" s="270">
        <v>3</v>
      </c>
      <c r="J17" s="270">
        <v>28</v>
      </c>
      <c r="K17" s="270">
        <v>32</v>
      </c>
      <c r="L17" s="270">
        <v>2</v>
      </c>
      <c r="M17" s="270">
        <v>0</v>
      </c>
      <c r="N17" s="270">
        <v>0</v>
      </c>
      <c r="O17" s="271">
        <f t="shared" si="1"/>
        <v>34</v>
      </c>
      <c r="P17" s="270">
        <v>0</v>
      </c>
      <c r="Q17" s="495">
        <f t="shared" si="4"/>
        <v>0.88235294117647067</v>
      </c>
      <c r="R17" s="494">
        <f t="shared" si="5"/>
        <v>8.235294117647058</v>
      </c>
    </row>
    <row r="18" spans="1:18" ht="14.95" thickBot="1" x14ac:dyDescent="0.3">
      <c r="D18" s="202"/>
      <c r="E18" s="203"/>
      <c r="H18" s="277" t="s">
        <v>57</v>
      </c>
      <c r="I18" s="272">
        <f>SUM(I4:I17)</f>
        <v>78</v>
      </c>
      <c r="J18" s="272">
        <f t="shared" ref="J18:N18" si="6">SUM(J4:J17)</f>
        <v>249</v>
      </c>
      <c r="K18" s="272">
        <f t="shared" si="6"/>
        <v>373</v>
      </c>
      <c r="L18" s="272">
        <f t="shared" si="6"/>
        <v>37</v>
      </c>
      <c r="M18" s="272">
        <f t="shared" si="6"/>
        <v>9</v>
      </c>
      <c r="N18" s="272">
        <f t="shared" si="6"/>
        <v>0</v>
      </c>
      <c r="O18" s="272">
        <f t="shared" ref="O18:P18" si="7">SUM(O4:O9)</f>
        <v>231</v>
      </c>
      <c r="P18" s="272">
        <f t="shared" si="7"/>
        <v>0</v>
      </c>
      <c r="Q18" s="275">
        <f t="shared" ref="Q18" si="8">SUM(I18/O18)*10</f>
        <v>3.3766233766233764</v>
      </c>
      <c r="R18" s="276">
        <f t="shared" ref="R18" si="9">SUM(J18/O18)*10</f>
        <v>10.779220779220779</v>
      </c>
    </row>
    <row r="19" spans="1:18" x14ac:dyDescent="0.25">
      <c r="A19" s="204" t="s">
        <v>59</v>
      </c>
      <c r="B19" s="204"/>
    </row>
    <row r="20" spans="1:18" x14ac:dyDescent="0.25">
      <c r="A20" s="742" t="s">
        <v>882</v>
      </c>
      <c r="B20" s="742"/>
      <c r="C20" s="743"/>
      <c r="D20" s="743"/>
      <c r="H20" s="204" t="s">
        <v>272</v>
      </c>
    </row>
    <row r="21" spans="1:18" ht="14.95" thickBot="1" x14ac:dyDescent="0.3">
      <c r="A21" s="455" t="s">
        <v>28</v>
      </c>
      <c r="B21" s="15"/>
      <c r="E21" t="s">
        <v>58</v>
      </c>
      <c r="I21" s="204"/>
    </row>
    <row r="22" spans="1:18" ht="14.95" thickBot="1" x14ac:dyDescent="0.3">
      <c r="H22" s="744" t="s">
        <v>58</v>
      </c>
      <c r="I22" s="746" t="s">
        <v>92</v>
      </c>
      <c r="J22" s="747"/>
      <c r="K22" s="746" t="s">
        <v>58</v>
      </c>
      <c r="L22" s="748"/>
      <c r="M22" s="748"/>
      <c r="N22" s="748"/>
      <c r="O22" s="747"/>
      <c r="P22" s="746" t="s">
        <v>95</v>
      </c>
      <c r="Q22" s="747"/>
    </row>
    <row r="23" spans="1:18" ht="14.95" thickBot="1" x14ac:dyDescent="0.3">
      <c r="H23" s="745"/>
      <c r="I23" s="264" t="s">
        <v>4</v>
      </c>
      <c r="J23" s="264" t="s">
        <v>5</v>
      </c>
      <c r="K23" s="265" t="s">
        <v>102</v>
      </c>
      <c r="L23" s="266" t="s">
        <v>103</v>
      </c>
      <c r="M23" s="266" t="s">
        <v>822</v>
      </c>
      <c r="N23" s="267" t="s">
        <v>702</v>
      </c>
      <c r="O23" s="268" t="s">
        <v>100</v>
      </c>
      <c r="P23" s="265" t="s">
        <v>4</v>
      </c>
      <c r="Q23" s="268" t="s">
        <v>5</v>
      </c>
    </row>
    <row r="24" spans="1:18" ht="14.95" thickBot="1" x14ac:dyDescent="0.3">
      <c r="H24" s="710" t="s">
        <v>37</v>
      </c>
      <c r="I24" s="270">
        <v>7</v>
      </c>
      <c r="J24" s="270">
        <v>3</v>
      </c>
      <c r="K24" s="270">
        <v>20</v>
      </c>
      <c r="L24" s="270">
        <v>0</v>
      </c>
      <c r="M24" s="270">
        <v>0</v>
      </c>
      <c r="N24" s="270">
        <v>0</v>
      </c>
      <c r="O24" s="271">
        <f t="shared" ref="O24:O29" si="10">SUM(K24:N24)</f>
        <v>20</v>
      </c>
      <c r="P24" s="495">
        <f t="shared" ref="P24" si="11">SUM(I24/O24)*10</f>
        <v>3.5</v>
      </c>
      <c r="Q24" s="494">
        <f t="shared" ref="Q24" si="12">SUM(J24/O24)*10</f>
        <v>1.5</v>
      </c>
    </row>
    <row r="25" spans="1:18" ht="14.95" thickBot="1" x14ac:dyDescent="0.3">
      <c r="H25" s="711" t="s">
        <v>29</v>
      </c>
      <c r="I25" s="270">
        <v>21</v>
      </c>
      <c r="J25" s="270">
        <v>0</v>
      </c>
      <c r="K25" s="270">
        <v>12</v>
      </c>
      <c r="L25" s="270">
        <v>2</v>
      </c>
      <c r="M25" s="270">
        <v>0</v>
      </c>
      <c r="N25" s="270">
        <v>0</v>
      </c>
      <c r="O25" s="271">
        <f t="shared" si="10"/>
        <v>14</v>
      </c>
      <c r="P25" s="495">
        <f t="shared" ref="P25:P37" si="13">SUM(I25/O25)*10</f>
        <v>15</v>
      </c>
      <c r="Q25" s="494">
        <f t="shared" ref="Q25:Q37" si="14">SUM(J25/O25)*10</f>
        <v>0</v>
      </c>
    </row>
    <row r="26" spans="1:18" ht="14.95" thickBot="1" x14ac:dyDescent="0.3">
      <c r="H26" s="282" t="s">
        <v>30</v>
      </c>
      <c r="I26" s="270">
        <v>28</v>
      </c>
      <c r="J26" s="270">
        <v>0</v>
      </c>
      <c r="K26" s="270">
        <v>37</v>
      </c>
      <c r="L26" s="270">
        <v>0</v>
      </c>
      <c r="M26" s="270">
        <v>0</v>
      </c>
      <c r="N26" s="270">
        <v>0</v>
      </c>
      <c r="O26" s="271">
        <f t="shared" si="10"/>
        <v>37</v>
      </c>
      <c r="P26" s="495">
        <f t="shared" si="13"/>
        <v>7.5675675675675684</v>
      </c>
      <c r="Q26" s="494">
        <f t="shared" si="14"/>
        <v>0</v>
      </c>
    </row>
    <row r="27" spans="1:18" ht="14.95" thickBot="1" x14ac:dyDescent="0.3">
      <c r="H27" s="712" t="s">
        <v>31</v>
      </c>
      <c r="I27" s="270">
        <v>0</v>
      </c>
      <c r="J27" s="270">
        <v>0</v>
      </c>
      <c r="K27" s="270">
        <v>10</v>
      </c>
      <c r="L27" s="270">
        <v>0</v>
      </c>
      <c r="M27" s="270">
        <v>0</v>
      </c>
      <c r="N27" s="270">
        <v>0</v>
      </c>
      <c r="O27" s="271">
        <f t="shared" si="10"/>
        <v>10</v>
      </c>
      <c r="P27" s="676">
        <f t="shared" si="13"/>
        <v>0</v>
      </c>
      <c r="Q27" s="677">
        <f t="shared" si="14"/>
        <v>0</v>
      </c>
    </row>
    <row r="28" spans="1:18" ht="14.95" thickBot="1" x14ac:dyDescent="0.3">
      <c r="H28" s="248" t="s">
        <v>34</v>
      </c>
      <c r="I28" s="270">
        <v>24</v>
      </c>
      <c r="J28" s="270">
        <v>13</v>
      </c>
      <c r="K28" s="270">
        <v>35</v>
      </c>
      <c r="L28" s="270">
        <v>0</v>
      </c>
      <c r="M28" s="270">
        <v>10</v>
      </c>
      <c r="N28" s="270">
        <v>0</v>
      </c>
      <c r="O28" s="271">
        <f t="shared" si="10"/>
        <v>45</v>
      </c>
      <c r="P28" s="495">
        <f t="shared" si="13"/>
        <v>5.333333333333333</v>
      </c>
      <c r="Q28" s="494">
        <f t="shared" si="14"/>
        <v>2.8888888888888884</v>
      </c>
    </row>
    <row r="29" spans="1:18" ht="14.95" thickBot="1" x14ac:dyDescent="0.3">
      <c r="H29" s="713" t="s">
        <v>38</v>
      </c>
      <c r="I29" s="270">
        <v>7</v>
      </c>
      <c r="J29" s="270">
        <v>0</v>
      </c>
      <c r="K29" s="270">
        <v>10</v>
      </c>
      <c r="L29" s="270">
        <v>0</v>
      </c>
      <c r="M29" s="270">
        <v>0</v>
      </c>
      <c r="N29" s="270">
        <v>0</v>
      </c>
      <c r="O29" s="271">
        <f t="shared" si="10"/>
        <v>10</v>
      </c>
      <c r="P29" s="495">
        <f t="shared" si="13"/>
        <v>7</v>
      </c>
      <c r="Q29" s="494">
        <f t="shared" si="14"/>
        <v>0</v>
      </c>
    </row>
    <row r="30" spans="1:18" ht="14.95" thickBot="1" x14ac:dyDescent="0.3">
      <c r="H30" s="59" t="s">
        <v>39</v>
      </c>
      <c r="I30" s="270">
        <v>28</v>
      </c>
      <c r="J30" s="270">
        <v>10</v>
      </c>
      <c r="K30" s="270">
        <v>59</v>
      </c>
      <c r="L30" s="270">
        <v>10</v>
      </c>
      <c r="M30" s="270">
        <v>0</v>
      </c>
      <c r="N30" s="270">
        <v>0</v>
      </c>
      <c r="O30" s="271">
        <f t="shared" ref="O30:O35" si="15">SUM(K30:N30)</f>
        <v>69</v>
      </c>
      <c r="P30" s="495">
        <f t="shared" si="13"/>
        <v>4.0579710144927539</v>
      </c>
      <c r="Q30" s="494">
        <f t="shared" si="14"/>
        <v>1.4492753623188406</v>
      </c>
    </row>
    <row r="31" spans="1:18" ht="14.95" thickBot="1" x14ac:dyDescent="0.3">
      <c r="H31" s="287" t="s">
        <v>33</v>
      </c>
      <c r="I31" s="270">
        <v>14</v>
      </c>
      <c r="J31" s="270">
        <v>0</v>
      </c>
      <c r="K31" s="270">
        <v>10</v>
      </c>
      <c r="L31" s="270">
        <v>0</v>
      </c>
      <c r="M31" s="270">
        <v>0</v>
      </c>
      <c r="N31" s="270">
        <v>0</v>
      </c>
      <c r="O31" s="271">
        <f t="shared" si="15"/>
        <v>10</v>
      </c>
      <c r="P31" s="495">
        <f t="shared" si="13"/>
        <v>14</v>
      </c>
      <c r="Q31" s="494">
        <f t="shared" si="14"/>
        <v>0</v>
      </c>
    </row>
    <row r="32" spans="1:18" ht="14.95" thickBot="1" x14ac:dyDescent="0.3">
      <c r="H32" s="700" t="s">
        <v>36</v>
      </c>
      <c r="I32" s="270">
        <v>0</v>
      </c>
      <c r="J32" s="270">
        <v>7</v>
      </c>
      <c r="K32" s="270">
        <v>10</v>
      </c>
      <c r="L32" s="270">
        <v>0</v>
      </c>
      <c r="M32" s="270">
        <v>0</v>
      </c>
      <c r="N32" s="270">
        <v>0</v>
      </c>
      <c r="O32" s="271">
        <f t="shared" si="15"/>
        <v>10</v>
      </c>
      <c r="P32" s="495">
        <f t="shared" si="13"/>
        <v>0</v>
      </c>
      <c r="Q32" s="494">
        <f t="shared" si="14"/>
        <v>7</v>
      </c>
    </row>
    <row r="33" spans="1:17" ht="14.95" thickBot="1" x14ac:dyDescent="0.3">
      <c r="H33" s="699" t="s">
        <v>118</v>
      </c>
      <c r="I33" s="270">
        <v>14</v>
      </c>
      <c r="J33" s="270">
        <v>0</v>
      </c>
      <c r="K33" s="270">
        <v>10</v>
      </c>
      <c r="L33" s="270">
        <v>0</v>
      </c>
      <c r="M33" s="270">
        <v>0</v>
      </c>
      <c r="N33" s="270">
        <v>0</v>
      </c>
      <c r="O33" s="271">
        <f t="shared" si="15"/>
        <v>10</v>
      </c>
      <c r="P33" s="676">
        <f t="shared" si="13"/>
        <v>14</v>
      </c>
      <c r="Q33" s="677">
        <f t="shared" si="14"/>
        <v>0</v>
      </c>
    </row>
    <row r="34" spans="1:17" ht="14.95" thickBot="1" x14ac:dyDescent="0.3">
      <c r="H34" s="67" t="s">
        <v>177</v>
      </c>
      <c r="I34" s="270">
        <v>10</v>
      </c>
      <c r="J34" s="270">
        <v>0</v>
      </c>
      <c r="K34" s="270">
        <v>10</v>
      </c>
      <c r="L34" s="270">
        <v>0</v>
      </c>
      <c r="M34" s="270">
        <v>0</v>
      </c>
      <c r="N34" s="270">
        <v>0</v>
      </c>
      <c r="O34" s="271">
        <f t="shared" si="15"/>
        <v>10</v>
      </c>
      <c r="P34" s="495">
        <f t="shared" si="13"/>
        <v>10</v>
      </c>
      <c r="Q34" s="494">
        <f t="shared" si="14"/>
        <v>0</v>
      </c>
    </row>
    <row r="35" spans="1:17" ht="14.95" thickBot="1" x14ac:dyDescent="0.3">
      <c r="H35" s="478" t="s">
        <v>120</v>
      </c>
      <c r="I35" s="726">
        <v>0</v>
      </c>
      <c r="J35" s="726">
        <v>0</v>
      </c>
      <c r="K35" s="726">
        <v>0</v>
      </c>
      <c r="L35" s="726">
        <v>0</v>
      </c>
      <c r="M35" s="726">
        <v>0</v>
      </c>
      <c r="N35" s="726">
        <v>0</v>
      </c>
      <c r="O35" s="727">
        <f t="shared" si="15"/>
        <v>0</v>
      </c>
      <c r="P35" s="655">
        <v>0</v>
      </c>
      <c r="Q35" s="656">
        <v>0</v>
      </c>
    </row>
    <row r="36" spans="1:17" ht="14.95" thickBot="1" x14ac:dyDescent="0.3">
      <c r="H36" s="120" t="s">
        <v>35</v>
      </c>
      <c r="I36" s="270">
        <v>42</v>
      </c>
      <c r="J36" s="270">
        <v>38</v>
      </c>
      <c r="K36" s="270">
        <v>65</v>
      </c>
      <c r="L36" s="270">
        <v>12</v>
      </c>
      <c r="M36" s="270">
        <v>9</v>
      </c>
      <c r="N36" s="270">
        <v>0</v>
      </c>
      <c r="O36" s="271">
        <f t="shared" ref="O36:O37" si="16">SUM(K36:N36)</f>
        <v>86</v>
      </c>
      <c r="P36" s="495">
        <f t="shared" si="13"/>
        <v>4.8837209302325579</v>
      </c>
      <c r="Q36" s="494">
        <f t="shared" si="14"/>
        <v>4.4186046511627906</v>
      </c>
    </row>
    <row r="37" spans="1:17" ht="14.95" thickBot="1" x14ac:dyDescent="0.3">
      <c r="H37" s="9" t="s">
        <v>32</v>
      </c>
      <c r="I37" s="270">
        <v>14</v>
      </c>
      <c r="J37" s="270">
        <v>0</v>
      </c>
      <c r="K37" s="270">
        <v>14</v>
      </c>
      <c r="L37" s="270">
        <v>3</v>
      </c>
      <c r="M37" s="270">
        <v>0</v>
      </c>
      <c r="N37" s="270">
        <v>0</v>
      </c>
      <c r="O37" s="271">
        <f t="shared" si="16"/>
        <v>17</v>
      </c>
      <c r="P37" s="495">
        <f t="shared" si="13"/>
        <v>8.235294117647058</v>
      </c>
      <c r="Q37" s="494">
        <f t="shared" si="14"/>
        <v>0</v>
      </c>
    </row>
    <row r="38" spans="1:17" ht="14.95" thickBot="1" x14ac:dyDescent="0.3">
      <c r="H38" s="277" t="s">
        <v>57</v>
      </c>
      <c r="I38" s="272">
        <f t="shared" ref="I38:J38" si="17">SUM(I24:I37)</f>
        <v>209</v>
      </c>
      <c r="J38" s="273">
        <f t="shared" si="17"/>
        <v>71</v>
      </c>
      <c r="K38" s="272">
        <f>SUM(K24:K37)</f>
        <v>302</v>
      </c>
      <c r="L38" s="274">
        <f t="shared" ref="L38:N38" si="18">SUM(L24:L37)</f>
        <v>27</v>
      </c>
      <c r="M38" s="274">
        <f t="shared" si="18"/>
        <v>19</v>
      </c>
      <c r="N38" s="274">
        <f t="shared" si="18"/>
        <v>0</v>
      </c>
      <c r="O38" s="273">
        <f>SUM(O24:O37)</f>
        <v>348</v>
      </c>
      <c r="P38" s="275">
        <f t="shared" ref="P38" si="19">SUM(I38/O38)*10</f>
        <v>6.0057471264367814</v>
      </c>
      <c r="Q38" s="276">
        <f t="shared" ref="Q38" si="20">SUM(J38/O38)*10</f>
        <v>2.0402298850574714</v>
      </c>
    </row>
    <row r="39" spans="1:17" x14ac:dyDescent="0.25">
      <c r="H39" t="s">
        <v>58</v>
      </c>
    </row>
    <row r="40" spans="1:17" x14ac:dyDescent="0.25">
      <c r="H40" s="204" t="s">
        <v>348</v>
      </c>
      <c r="I40" s="204"/>
      <c r="J40" s="204"/>
      <c r="K40" s="204"/>
    </row>
    <row r="41" spans="1:17" x14ac:dyDescent="0.25">
      <c r="H41" t="s">
        <v>877</v>
      </c>
      <c r="I41" s="204"/>
      <c r="J41" s="204"/>
      <c r="K41" s="204"/>
    </row>
    <row r="42" spans="1:17" x14ac:dyDescent="0.25">
      <c r="A42" s="455"/>
      <c r="H42" t="s">
        <v>876</v>
      </c>
      <c r="I42" s="204"/>
      <c r="J42" s="204"/>
      <c r="K42" s="204"/>
    </row>
    <row r="43" spans="1:17" x14ac:dyDescent="0.25">
      <c r="H43" s="339" t="s">
        <v>839</v>
      </c>
      <c r="I43" s="204"/>
      <c r="J43" s="204"/>
      <c r="K43" s="204"/>
    </row>
    <row r="44" spans="1:17" x14ac:dyDescent="0.25">
      <c r="H44" t="s">
        <v>881</v>
      </c>
      <c r="I44" s="204"/>
      <c r="J44" s="204"/>
      <c r="K44" s="204"/>
    </row>
    <row r="45" spans="1:17" x14ac:dyDescent="0.25">
      <c r="J45" s="204"/>
      <c r="K45" s="204"/>
      <c r="L45" s="204"/>
    </row>
    <row r="46" spans="1:17" x14ac:dyDescent="0.25">
      <c r="J46" s="204"/>
      <c r="K46" s="204"/>
      <c r="L46" s="204"/>
    </row>
    <row r="47" spans="1:17" x14ac:dyDescent="0.25">
      <c r="H47" s="204" t="s">
        <v>263</v>
      </c>
      <c r="J47" s="204"/>
      <c r="K47" s="204"/>
      <c r="L47" s="204"/>
    </row>
    <row r="48" spans="1:17" x14ac:dyDescent="0.25">
      <c r="J48" s="204"/>
      <c r="K48" s="204"/>
      <c r="L48" s="204"/>
    </row>
    <row r="51" spans="1:1" x14ac:dyDescent="0.25">
      <c r="A51" s="455" t="s">
        <v>28</v>
      </c>
    </row>
  </sheetData>
  <sortState xmlns:xlrd2="http://schemas.microsoft.com/office/spreadsheetml/2017/richdata2" ref="A3:F16">
    <sortCondition ref="F3:F16"/>
    <sortCondition ref="D3:D16"/>
    <sortCondition ref="B3:B16"/>
  </sortState>
  <mergeCells count="11">
    <mergeCell ref="A20:D20"/>
    <mergeCell ref="H22:H23"/>
    <mergeCell ref="I22:J22"/>
    <mergeCell ref="K22:O22"/>
    <mergeCell ref="P22:Q22"/>
    <mergeCell ref="Q2:R2"/>
    <mergeCell ref="B2:C2"/>
    <mergeCell ref="D2:E2"/>
    <mergeCell ref="H2:H3"/>
    <mergeCell ref="I2:J2"/>
    <mergeCell ref="K2:O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T31"/>
  <sheetViews>
    <sheetView zoomScaleNormal="100" workbookViewId="0">
      <pane ySplit="2" topLeftCell="A3" activePane="bottomLeft" state="frozen"/>
      <selection pane="bottomLeft" activeCell="W9" sqref="W9"/>
    </sheetView>
  </sheetViews>
  <sheetFormatPr defaultRowHeight="14.3" x14ac:dyDescent="0.25"/>
  <cols>
    <col min="1" max="1" width="7.5" customWidth="1"/>
    <col min="2" max="2" width="4.5" bestFit="1" customWidth="1"/>
    <col min="3" max="3" width="11.5" customWidth="1"/>
    <col min="4" max="4" width="4.875" bestFit="1" customWidth="1"/>
    <col min="5" max="5" width="3.625" customWidth="1"/>
    <col min="6" max="7" width="4" bestFit="1" customWidth="1"/>
    <col min="8" max="18" width="3.625" customWidth="1"/>
    <col min="19" max="20" width="6.375" customWidth="1"/>
    <col min="21" max="21" width="30.5" bestFit="1" customWidth="1"/>
    <col min="22" max="23" width="31" bestFit="1" customWidth="1"/>
    <col min="24" max="24" width="30.5" customWidth="1"/>
    <col min="25" max="40" width="3.625" customWidth="1"/>
    <col min="42" max="42" width="13.125" bestFit="1" customWidth="1"/>
    <col min="45" max="45" width="13.125" bestFit="1" customWidth="1"/>
  </cols>
  <sheetData>
    <row r="1" spans="1:46" ht="14.95" customHeight="1" thickBot="1" x14ac:dyDescent="0.3">
      <c r="A1" s="766" t="s">
        <v>197</v>
      </c>
      <c r="B1" s="767"/>
      <c r="C1" s="767"/>
      <c r="D1" s="177"/>
      <c r="E1" s="763" t="s">
        <v>24</v>
      </c>
      <c r="F1" s="765"/>
      <c r="G1" s="764"/>
      <c r="H1" s="763" t="s">
        <v>23</v>
      </c>
      <c r="I1" s="764"/>
      <c r="J1" s="757" t="s">
        <v>6</v>
      </c>
      <c r="K1" s="759"/>
      <c r="L1" s="759"/>
      <c r="M1" s="758"/>
      <c r="N1" s="757" t="s">
        <v>7</v>
      </c>
      <c r="O1" s="758"/>
      <c r="P1" s="757" t="s">
        <v>25</v>
      </c>
      <c r="Q1" s="759"/>
      <c r="R1" s="758"/>
      <c r="S1" s="401" t="s">
        <v>8</v>
      </c>
      <c r="T1" s="401" t="s">
        <v>9</v>
      </c>
      <c r="U1" s="81" t="s">
        <v>10</v>
      </c>
      <c r="V1" s="80" t="s">
        <v>11</v>
      </c>
      <c r="W1" s="82" t="s">
        <v>26</v>
      </c>
      <c r="X1" s="167" t="s">
        <v>27</v>
      </c>
      <c r="Y1" s="752" t="s">
        <v>20</v>
      </c>
      <c r="Z1" s="753"/>
      <c r="AA1" s="753"/>
      <c r="AB1" s="754"/>
      <c r="AC1" s="752" t="s">
        <v>61</v>
      </c>
      <c r="AD1" s="753"/>
      <c r="AE1" s="753"/>
      <c r="AF1" s="754"/>
      <c r="AG1" s="752" t="s">
        <v>62</v>
      </c>
      <c r="AH1" s="753"/>
      <c r="AI1" s="753"/>
      <c r="AJ1" s="754"/>
      <c r="AK1" s="755" t="s">
        <v>63</v>
      </c>
      <c r="AL1" s="756"/>
      <c r="AM1" s="756"/>
      <c r="AN1" s="756"/>
      <c r="AP1" s="390" t="s">
        <v>142</v>
      </c>
      <c r="AQ1" s="14"/>
      <c r="AS1" s="390" t="s">
        <v>142</v>
      </c>
    </row>
    <row r="2" spans="1:46" ht="14.95" customHeight="1" thickBot="1" x14ac:dyDescent="0.3">
      <c r="A2" s="83" t="s">
        <v>19</v>
      </c>
      <c r="B2" s="84" t="s">
        <v>18</v>
      </c>
      <c r="C2" s="85" t="s">
        <v>17</v>
      </c>
      <c r="D2" s="86" t="s">
        <v>41</v>
      </c>
      <c r="E2" s="86" t="s">
        <v>16</v>
      </c>
      <c r="F2" s="86" t="s">
        <v>4</v>
      </c>
      <c r="G2" s="86" t="s">
        <v>5</v>
      </c>
      <c r="H2" s="87" t="s">
        <v>12</v>
      </c>
      <c r="I2" s="87" t="s">
        <v>3</v>
      </c>
      <c r="J2" s="87" t="s">
        <v>12</v>
      </c>
      <c r="K2" s="87" t="s">
        <v>13</v>
      </c>
      <c r="L2" s="87" t="s">
        <v>2</v>
      </c>
      <c r="M2" s="87" t="s">
        <v>14</v>
      </c>
      <c r="N2" s="87" t="s">
        <v>15</v>
      </c>
      <c r="O2" s="87" t="s">
        <v>16</v>
      </c>
      <c r="P2" s="87" t="s">
        <v>21</v>
      </c>
      <c r="Q2" s="87" t="s">
        <v>22</v>
      </c>
      <c r="R2" s="87" t="s">
        <v>12</v>
      </c>
      <c r="S2" s="88"/>
      <c r="T2" s="178"/>
      <c r="U2" s="89"/>
      <c r="V2" s="88"/>
      <c r="W2" s="90"/>
      <c r="X2" s="91"/>
      <c r="Y2" s="334" t="s">
        <v>0</v>
      </c>
      <c r="Z2" s="334" t="s">
        <v>1</v>
      </c>
      <c r="AA2" s="334" t="s">
        <v>2</v>
      </c>
      <c r="AB2" s="334" t="s">
        <v>3</v>
      </c>
      <c r="AC2" s="334" t="s">
        <v>0</v>
      </c>
      <c r="AD2" s="334" t="s">
        <v>1</v>
      </c>
      <c r="AE2" s="334" t="s">
        <v>2</v>
      </c>
      <c r="AF2" s="334" t="s">
        <v>3</v>
      </c>
      <c r="AG2" s="334" t="s">
        <v>0</v>
      </c>
      <c r="AH2" s="334" t="s">
        <v>1</v>
      </c>
      <c r="AI2" s="334" t="s">
        <v>2</v>
      </c>
      <c r="AJ2" s="334" t="s">
        <v>3</v>
      </c>
      <c r="AK2" s="334" t="s">
        <v>0</v>
      </c>
      <c r="AL2" s="334" t="s">
        <v>1</v>
      </c>
      <c r="AM2" s="334" t="s">
        <v>2</v>
      </c>
      <c r="AN2" s="334" t="s">
        <v>3</v>
      </c>
      <c r="AP2" s="367" t="s">
        <v>107</v>
      </c>
      <c r="AQ2" s="204"/>
      <c r="AS2" s="368" t="s">
        <v>130</v>
      </c>
      <c r="AT2" s="204"/>
    </row>
    <row r="3" spans="1:46" ht="14.95" customHeight="1" thickBot="1" x14ac:dyDescent="0.35">
      <c r="A3" s="528">
        <v>44744</v>
      </c>
      <c r="B3" s="529" t="s">
        <v>45</v>
      </c>
      <c r="C3" s="529" t="s">
        <v>35</v>
      </c>
      <c r="D3" s="529" t="s">
        <v>235</v>
      </c>
      <c r="E3" s="530" t="s">
        <v>1</v>
      </c>
      <c r="F3" s="530">
        <v>26</v>
      </c>
      <c r="G3" s="530">
        <v>18</v>
      </c>
      <c r="H3" s="530" t="s">
        <v>106</v>
      </c>
      <c r="I3" s="530" t="s">
        <v>106</v>
      </c>
      <c r="J3" s="530">
        <v>3</v>
      </c>
      <c r="K3" s="530">
        <v>1</v>
      </c>
      <c r="L3" s="530">
        <v>0</v>
      </c>
      <c r="M3" s="530">
        <v>3</v>
      </c>
      <c r="N3" s="530">
        <v>0</v>
      </c>
      <c r="O3" s="530">
        <v>0</v>
      </c>
      <c r="P3" s="530" t="s">
        <v>106</v>
      </c>
      <c r="Q3" s="530" t="s">
        <v>106</v>
      </c>
      <c r="R3" s="530">
        <v>2</v>
      </c>
      <c r="S3" s="531">
        <v>21630</v>
      </c>
      <c r="T3" s="543" t="s">
        <v>391</v>
      </c>
      <c r="U3" s="533" t="s">
        <v>268</v>
      </c>
      <c r="V3" s="531" t="s">
        <v>368</v>
      </c>
      <c r="W3" s="534" t="s">
        <v>260</v>
      </c>
      <c r="X3" s="535" t="s">
        <v>314</v>
      </c>
      <c r="Y3" s="536">
        <v>1</v>
      </c>
      <c r="Z3" s="536">
        <v>1</v>
      </c>
      <c r="AA3" s="536">
        <v>0</v>
      </c>
      <c r="AB3" s="537">
        <v>0</v>
      </c>
      <c r="AC3" s="536">
        <v>1</v>
      </c>
      <c r="AD3" s="536">
        <v>1</v>
      </c>
      <c r="AE3" s="536">
        <v>0</v>
      </c>
      <c r="AF3" s="537">
        <v>0</v>
      </c>
      <c r="AG3" s="536">
        <v>0</v>
      </c>
      <c r="AH3" s="536">
        <v>0</v>
      </c>
      <c r="AI3" s="536">
        <v>0</v>
      </c>
      <c r="AJ3" s="537">
        <v>0</v>
      </c>
      <c r="AK3" s="536">
        <v>0</v>
      </c>
      <c r="AL3" s="536">
        <v>0</v>
      </c>
      <c r="AM3" s="536">
        <v>0</v>
      </c>
      <c r="AN3" s="537">
        <v>0</v>
      </c>
      <c r="AP3" s="386" t="s">
        <v>132</v>
      </c>
      <c r="AQ3" s="387">
        <f>Argentinaalltestsplayed</f>
        <v>477</v>
      </c>
      <c r="AS3" s="386" t="s">
        <v>132</v>
      </c>
      <c r="AT3" s="387">
        <f>ArgentinaWChistplayed</f>
        <v>41</v>
      </c>
    </row>
    <row r="4" spans="1:46" ht="14.95" customHeight="1" thickBot="1" x14ac:dyDescent="0.3">
      <c r="A4" s="528">
        <v>44751</v>
      </c>
      <c r="B4" s="529" t="s">
        <v>45</v>
      </c>
      <c r="C4" s="529" t="s">
        <v>35</v>
      </c>
      <c r="D4" s="529" t="s">
        <v>239</v>
      </c>
      <c r="E4" s="530" t="s">
        <v>3</v>
      </c>
      <c r="F4" s="530">
        <v>6</v>
      </c>
      <c r="G4" s="530">
        <v>29</v>
      </c>
      <c r="H4" s="530" t="s">
        <v>106</v>
      </c>
      <c r="I4" s="530" t="s">
        <v>106</v>
      </c>
      <c r="J4" s="530">
        <v>0</v>
      </c>
      <c r="K4" s="530">
        <v>0</v>
      </c>
      <c r="L4" s="530">
        <v>0</v>
      </c>
      <c r="M4" s="530">
        <v>2</v>
      </c>
      <c r="N4" s="530">
        <v>1</v>
      </c>
      <c r="O4" s="530">
        <v>0</v>
      </c>
      <c r="P4" s="530" t="s">
        <v>106</v>
      </c>
      <c r="Q4" s="530" t="s">
        <v>106</v>
      </c>
      <c r="R4" s="530">
        <v>4</v>
      </c>
      <c r="S4" s="531">
        <v>20900</v>
      </c>
      <c r="T4" s="532" t="s">
        <v>572</v>
      </c>
      <c r="U4" s="534" t="s">
        <v>260</v>
      </c>
      <c r="V4" s="531" t="s">
        <v>312</v>
      </c>
      <c r="W4" s="534" t="s">
        <v>266</v>
      </c>
      <c r="X4" s="535" t="s">
        <v>314</v>
      </c>
      <c r="Y4" s="536">
        <v>1</v>
      </c>
      <c r="Z4" s="536">
        <v>0</v>
      </c>
      <c r="AA4" s="536">
        <v>0</v>
      </c>
      <c r="AB4" s="537">
        <v>1</v>
      </c>
      <c r="AC4" s="536">
        <v>1</v>
      </c>
      <c r="AD4" s="536">
        <v>0</v>
      </c>
      <c r="AE4" s="536">
        <v>0</v>
      </c>
      <c r="AF4" s="537">
        <v>1</v>
      </c>
      <c r="AG4" s="536">
        <v>0</v>
      </c>
      <c r="AH4" s="536">
        <v>0</v>
      </c>
      <c r="AI4" s="536">
        <v>0</v>
      </c>
      <c r="AJ4" s="537">
        <v>0</v>
      </c>
      <c r="AK4" s="536">
        <v>0</v>
      </c>
      <c r="AL4" s="536">
        <v>0</v>
      </c>
      <c r="AM4" s="536">
        <v>0</v>
      </c>
      <c r="AN4" s="537">
        <v>0</v>
      </c>
      <c r="AP4" s="388" t="s">
        <v>133</v>
      </c>
      <c r="AQ4" s="389">
        <f>Argentinaalltestswon</f>
        <v>238</v>
      </c>
      <c r="AS4" s="388" t="s">
        <v>133</v>
      </c>
      <c r="AT4" s="389">
        <f>ArgentinaWChistwon</f>
        <v>21</v>
      </c>
    </row>
    <row r="5" spans="1:46" ht="14.95" customHeight="1" thickBot="1" x14ac:dyDescent="0.3">
      <c r="A5" s="528">
        <v>44758</v>
      </c>
      <c r="B5" s="628" t="s">
        <v>45</v>
      </c>
      <c r="C5" s="529" t="s">
        <v>35</v>
      </c>
      <c r="D5" s="541" t="s">
        <v>241</v>
      </c>
      <c r="E5" s="530" t="s">
        <v>1</v>
      </c>
      <c r="F5" s="530">
        <v>34</v>
      </c>
      <c r="G5" s="530">
        <v>31</v>
      </c>
      <c r="H5" s="530" t="s">
        <v>106</v>
      </c>
      <c r="I5" s="530" t="s">
        <v>106</v>
      </c>
      <c r="J5" s="530">
        <v>4</v>
      </c>
      <c r="K5" s="530">
        <v>4</v>
      </c>
      <c r="L5" s="530">
        <v>0</v>
      </c>
      <c r="M5" s="530">
        <v>2</v>
      </c>
      <c r="N5" s="530">
        <v>0</v>
      </c>
      <c r="O5" s="530">
        <v>0</v>
      </c>
      <c r="P5" s="530" t="s">
        <v>106</v>
      </c>
      <c r="Q5" s="530" t="s">
        <v>106</v>
      </c>
      <c r="R5" s="530">
        <v>4</v>
      </c>
      <c r="S5" s="531">
        <v>30000</v>
      </c>
      <c r="T5" s="544" t="s">
        <v>628</v>
      </c>
      <c r="U5" s="534" t="s">
        <v>266</v>
      </c>
      <c r="V5" s="531" t="s">
        <v>312</v>
      </c>
      <c r="W5" s="534" t="s">
        <v>260</v>
      </c>
      <c r="X5" s="535" t="s">
        <v>385</v>
      </c>
      <c r="Y5" s="536">
        <v>1</v>
      </c>
      <c r="Z5" s="536">
        <v>1</v>
      </c>
      <c r="AA5" s="536">
        <v>0</v>
      </c>
      <c r="AB5" s="537">
        <v>0</v>
      </c>
      <c r="AC5" s="536">
        <v>1</v>
      </c>
      <c r="AD5" s="536">
        <v>1</v>
      </c>
      <c r="AE5" s="536">
        <v>0</v>
      </c>
      <c r="AF5" s="537">
        <v>0</v>
      </c>
      <c r="AG5" s="536">
        <v>0</v>
      </c>
      <c r="AH5" s="536">
        <v>0</v>
      </c>
      <c r="AI5" s="536">
        <v>0</v>
      </c>
      <c r="AJ5" s="537">
        <v>0</v>
      </c>
      <c r="AK5" s="536">
        <v>0</v>
      </c>
      <c r="AL5" s="536">
        <v>0</v>
      </c>
      <c r="AM5" s="536">
        <v>0</v>
      </c>
      <c r="AN5" s="537">
        <v>0</v>
      </c>
      <c r="AP5" s="388" t="s">
        <v>139</v>
      </c>
      <c r="AQ5" s="389">
        <f>Argentinaalltestsdrawn</f>
        <v>13</v>
      </c>
      <c r="AS5" s="388" t="s">
        <v>139</v>
      </c>
      <c r="AT5" s="389">
        <f>ArgentinaWChistdrawn</f>
        <v>0</v>
      </c>
    </row>
    <row r="6" spans="1:46" ht="14.95" customHeight="1" thickBot="1" x14ac:dyDescent="0.35">
      <c r="A6" s="528">
        <v>44779</v>
      </c>
      <c r="B6" s="529" t="s">
        <v>648</v>
      </c>
      <c r="C6" s="529" t="s">
        <v>29</v>
      </c>
      <c r="D6" s="541" t="s">
        <v>656</v>
      </c>
      <c r="E6" s="530" t="s">
        <v>3</v>
      </c>
      <c r="F6" s="530">
        <v>26</v>
      </c>
      <c r="G6" s="530">
        <v>41</v>
      </c>
      <c r="H6" s="530">
        <v>0</v>
      </c>
      <c r="I6" s="530">
        <v>0</v>
      </c>
      <c r="J6" s="530">
        <v>2</v>
      </c>
      <c r="K6" s="530">
        <v>2</v>
      </c>
      <c r="L6" s="530">
        <v>0</v>
      </c>
      <c r="M6" s="530">
        <v>4</v>
      </c>
      <c r="N6" s="530">
        <v>1</v>
      </c>
      <c r="O6" s="530">
        <v>0</v>
      </c>
      <c r="P6" s="530">
        <v>1</v>
      </c>
      <c r="Q6" s="530">
        <v>0</v>
      </c>
      <c r="R6" s="530">
        <v>5</v>
      </c>
      <c r="S6" s="534">
        <v>33000</v>
      </c>
      <c r="T6" s="548" t="s">
        <v>325</v>
      </c>
      <c r="U6" s="539" t="s">
        <v>282</v>
      </c>
      <c r="V6" s="534" t="s">
        <v>505</v>
      </c>
      <c r="W6" s="534" t="s">
        <v>322</v>
      </c>
      <c r="X6" s="540" t="s">
        <v>305</v>
      </c>
      <c r="Y6" s="536">
        <v>1</v>
      </c>
      <c r="Z6" s="536">
        <v>0</v>
      </c>
      <c r="AA6" s="536">
        <v>0</v>
      </c>
      <c r="AB6" s="537">
        <v>1</v>
      </c>
      <c r="AC6" s="536">
        <v>1</v>
      </c>
      <c r="AD6" s="536">
        <v>0</v>
      </c>
      <c r="AE6" s="536">
        <v>0</v>
      </c>
      <c r="AF6" s="537">
        <v>1</v>
      </c>
      <c r="AG6" s="536">
        <v>0</v>
      </c>
      <c r="AH6" s="536">
        <v>0</v>
      </c>
      <c r="AI6" s="536">
        <v>0</v>
      </c>
      <c r="AJ6" s="537">
        <v>0</v>
      </c>
      <c r="AK6" s="536">
        <v>0</v>
      </c>
      <c r="AL6" s="536">
        <v>0</v>
      </c>
      <c r="AM6" s="536">
        <v>0</v>
      </c>
      <c r="AN6" s="537">
        <v>0</v>
      </c>
      <c r="AP6" s="388" t="s">
        <v>134</v>
      </c>
      <c r="AQ6" s="389">
        <f>Argentinaalltestslost</f>
        <v>226</v>
      </c>
      <c r="AS6" s="388" t="s">
        <v>134</v>
      </c>
      <c r="AT6" s="389">
        <f>ArgentinaWChistlost</f>
        <v>20</v>
      </c>
    </row>
    <row r="7" spans="1:46" ht="14.95" customHeight="1" thickBot="1" x14ac:dyDescent="0.35">
      <c r="A7" s="545">
        <v>44786</v>
      </c>
      <c r="B7" s="546" t="s">
        <v>648</v>
      </c>
      <c r="C7" s="546" t="s">
        <v>29</v>
      </c>
      <c r="D7" s="578" t="s">
        <v>664</v>
      </c>
      <c r="E7" s="420" t="s">
        <v>1</v>
      </c>
      <c r="F7" s="420">
        <v>48</v>
      </c>
      <c r="G7" s="420">
        <v>17</v>
      </c>
      <c r="H7" s="420">
        <v>1</v>
      </c>
      <c r="I7" s="420">
        <v>0</v>
      </c>
      <c r="J7" s="420">
        <v>7</v>
      </c>
      <c r="K7" s="420">
        <v>5</v>
      </c>
      <c r="L7" s="420">
        <v>0</v>
      </c>
      <c r="M7" s="420">
        <v>1</v>
      </c>
      <c r="N7" s="420">
        <v>0</v>
      </c>
      <c r="O7" s="420">
        <v>0</v>
      </c>
      <c r="P7" s="420">
        <v>0</v>
      </c>
      <c r="Q7" s="420">
        <v>0</v>
      </c>
      <c r="R7" s="420">
        <v>2</v>
      </c>
      <c r="S7" s="534">
        <v>23155</v>
      </c>
      <c r="T7" s="554" t="s">
        <v>666</v>
      </c>
      <c r="U7" s="534" t="s">
        <v>322</v>
      </c>
      <c r="V7" s="534" t="s">
        <v>505</v>
      </c>
      <c r="W7" s="539" t="s">
        <v>282</v>
      </c>
      <c r="X7" s="540" t="s">
        <v>305</v>
      </c>
      <c r="Y7" s="536">
        <v>1</v>
      </c>
      <c r="Z7" s="537">
        <v>1</v>
      </c>
      <c r="AA7" s="537">
        <v>0</v>
      </c>
      <c r="AB7" s="537">
        <v>0</v>
      </c>
      <c r="AC7" s="537">
        <v>1</v>
      </c>
      <c r="AD7" s="537">
        <v>1</v>
      </c>
      <c r="AE7" s="537">
        <v>0</v>
      </c>
      <c r="AF7" s="537">
        <v>0</v>
      </c>
      <c r="AG7" s="537">
        <v>0</v>
      </c>
      <c r="AH7" s="537">
        <v>0</v>
      </c>
      <c r="AI7" s="537">
        <v>0</v>
      </c>
      <c r="AJ7" s="537">
        <v>0</v>
      </c>
      <c r="AK7" s="537">
        <v>0</v>
      </c>
      <c r="AL7" s="537">
        <v>0</v>
      </c>
      <c r="AM7" s="537">
        <v>0</v>
      </c>
      <c r="AN7" s="537">
        <v>0</v>
      </c>
      <c r="AP7" s="388" t="s">
        <v>140</v>
      </c>
      <c r="AQ7" s="389">
        <f>Argentinaalltestsptsscored</f>
        <v>13245</v>
      </c>
      <c r="AS7" s="388" t="s">
        <v>140</v>
      </c>
      <c r="AT7" s="389">
        <f>ArgentinaWChistptsscored</f>
        <v>1098</v>
      </c>
    </row>
    <row r="8" spans="1:46" ht="14.95" customHeight="1" thickBot="1" x14ac:dyDescent="0.3">
      <c r="A8" s="518">
        <v>44800</v>
      </c>
      <c r="B8" s="517" t="s">
        <v>648</v>
      </c>
      <c r="C8" s="517" t="s">
        <v>118</v>
      </c>
      <c r="D8" s="577" t="s">
        <v>677</v>
      </c>
      <c r="E8" s="504" t="s">
        <v>1</v>
      </c>
      <c r="F8" s="504">
        <v>25</v>
      </c>
      <c r="G8" s="504">
        <v>18</v>
      </c>
      <c r="H8" s="504">
        <v>0</v>
      </c>
      <c r="I8" s="504">
        <v>0</v>
      </c>
      <c r="J8" s="504">
        <v>1</v>
      </c>
      <c r="K8" s="504">
        <v>1</v>
      </c>
      <c r="L8" s="504">
        <v>0</v>
      </c>
      <c r="M8" s="504">
        <v>6</v>
      </c>
      <c r="N8" s="504">
        <v>0</v>
      </c>
      <c r="O8" s="504">
        <v>0</v>
      </c>
      <c r="P8" s="504">
        <v>0</v>
      </c>
      <c r="Q8" s="504">
        <v>1</v>
      </c>
      <c r="R8" s="504">
        <v>2</v>
      </c>
      <c r="S8" s="506">
        <v>20000</v>
      </c>
      <c r="T8" s="610" t="s">
        <v>676</v>
      </c>
      <c r="U8" s="506" t="s">
        <v>284</v>
      </c>
      <c r="V8" s="506" t="s">
        <v>312</v>
      </c>
      <c r="W8" s="506" t="s">
        <v>268</v>
      </c>
      <c r="X8" s="508" t="s">
        <v>285</v>
      </c>
      <c r="Y8" s="509">
        <v>1</v>
      </c>
      <c r="Z8" s="510">
        <v>1</v>
      </c>
      <c r="AA8" s="510">
        <v>0</v>
      </c>
      <c r="AB8" s="510">
        <v>0</v>
      </c>
      <c r="AC8" s="510">
        <v>0</v>
      </c>
      <c r="AD8" s="510">
        <v>0</v>
      </c>
      <c r="AE8" s="510">
        <v>0</v>
      </c>
      <c r="AF8" s="510">
        <v>0</v>
      </c>
      <c r="AG8" s="510">
        <v>1</v>
      </c>
      <c r="AH8" s="510">
        <v>1</v>
      </c>
      <c r="AI8" s="510">
        <v>0</v>
      </c>
      <c r="AJ8" s="510">
        <v>0</v>
      </c>
      <c r="AK8" s="510">
        <v>0</v>
      </c>
      <c r="AL8" s="510">
        <v>0</v>
      </c>
      <c r="AM8" s="510">
        <v>0</v>
      </c>
      <c r="AN8" s="510">
        <v>0</v>
      </c>
      <c r="AP8" s="388" t="s">
        <v>141</v>
      </c>
      <c r="AQ8" s="389">
        <f>Argentinaalltestsptsagainst</f>
        <v>9990</v>
      </c>
      <c r="AS8" s="388" t="s">
        <v>141</v>
      </c>
      <c r="AT8" s="389">
        <f>ArgentinaWChistptsagainst</f>
        <v>839</v>
      </c>
    </row>
    <row r="9" spans="1:46" ht="14.95" customHeight="1" thickBot="1" x14ac:dyDescent="0.3">
      <c r="A9" s="518">
        <v>44807</v>
      </c>
      <c r="B9" s="517" t="s">
        <v>648</v>
      </c>
      <c r="C9" s="517" t="s">
        <v>118</v>
      </c>
      <c r="D9" s="577" t="s">
        <v>679</v>
      </c>
      <c r="E9" s="504" t="s">
        <v>3</v>
      </c>
      <c r="F9" s="504">
        <v>3</v>
      </c>
      <c r="G9" s="504">
        <v>53</v>
      </c>
      <c r="H9" s="504">
        <v>0</v>
      </c>
      <c r="I9" s="504">
        <v>0</v>
      </c>
      <c r="J9" s="504">
        <v>0</v>
      </c>
      <c r="K9" s="504">
        <v>0</v>
      </c>
      <c r="L9" s="504">
        <v>0</v>
      </c>
      <c r="M9" s="504">
        <v>1</v>
      </c>
      <c r="N9" s="504">
        <v>1</v>
      </c>
      <c r="O9" s="504">
        <v>0</v>
      </c>
      <c r="P9" s="504">
        <v>1</v>
      </c>
      <c r="Q9" s="504">
        <v>0</v>
      </c>
      <c r="R9" s="504">
        <v>7</v>
      </c>
      <c r="S9" s="526">
        <v>22000</v>
      </c>
      <c r="T9" s="520" t="s">
        <v>681</v>
      </c>
      <c r="U9" s="506" t="s">
        <v>268</v>
      </c>
      <c r="V9" s="526" t="s">
        <v>284</v>
      </c>
      <c r="W9" s="506" t="s">
        <v>448</v>
      </c>
      <c r="X9" s="508" t="s">
        <v>312</v>
      </c>
      <c r="Y9" s="509">
        <v>1</v>
      </c>
      <c r="Z9" s="510">
        <v>0</v>
      </c>
      <c r="AA9" s="510">
        <v>0</v>
      </c>
      <c r="AB9" s="510">
        <v>1</v>
      </c>
      <c r="AC9" s="510">
        <v>0</v>
      </c>
      <c r="AD9" s="510">
        <v>0</v>
      </c>
      <c r="AE9" s="510">
        <v>0</v>
      </c>
      <c r="AF9" s="510">
        <v>0</v>
      </c>
      <c r="AG9" s="510">
        <v>1</v>
      </c>
      <c r="AH9" s="510">
        <v>0</v>
      </c>
      <c r="AI9" s="510">
        <v>0</v>
      </c>
      <c r="AJ9" s="510">
        <v>1</v>
      </c>
      <c r="AK9" s="510">
        <v>0</v>
      </c>
      <c r="AL9" s="510">
        <v>0</v>
      </c>
      <c r="AM9" s="510">
        <v>0</v>
      </c>
      <c r="AN9" s="510">
        <v>0</v>
      </c>
      <c r="AP9" s="388" t="s">
        <v>131</v>
      </c>
      <c r="AQ9" s="389">
        <f>Argentinaallteststriesscored</f>
        <v>1646</v>
      </c>
      <c r="AS9" s="388" t="s">
        <v>131</v>
      </c>
      <c r="AT9" s="389">
        <f>ArgentinaWChisttriesscored</f>
        <v>115</v>
      </c>
    </row>
    <row r="10" spans="1:46" ht="14.95" customHeight="1" thickBot="1" x14ac:dyDescent="0.3">
      <c r="A10" s="545">
        <v>44821</v>
      </c>
      <c r="B10" s="546" t="s">
        <v>648</v>
      </c>
      <c r="C10" s="546" t="s">
        <v>177</v>
      </c>
      <c r="D10" s="578" t="s">
        <v>695</v>
      </c>
      <c r="E10" s="530" t="s">
        <v>3</v>
      </c>
      <c r="F10" s="530">
        <v>20</v>
      </c>
      <c r="G10" s="530">
        <v>36</v>
      </c>
      <c r="H10" s="530">
        <v>0</v>
      </c>
      <c r="I10" s="530">
        <v>0</v>
      </c>
      <c r="J10" s="530">
        <v>2</v>
      </c>
      <c r="K10" s="530">
        <v>1</v>
      </c>
      <c r="L10" s="530">
        <v>0</v>
      </c>
      <c r="M10" s="530">
        <v>2</v>
      </c>
      <c r="N10" s="530">
        <v>2</v>
      </c>
      <c r="O10" s="530">
        <v>0</v>
      </c>
      <c r="P10" s="530">
        <v>1</v>
      </c>
      <c r="Q10" s="530">
        <v>0</v>
      </c>
      <c r="R10" s="530">
        <v>5</v>
      </c>
      <c r="S10" s="534">
        <v>34000</v>
      </c>
      <c r="T10" s="538" t="s">
        <v>698</v>
      </c>
      <c r="U10" s="439" t="s">
        <v>510</v>
      </c>
      <c r="V10" s="534" t="s">
        <v>449</v>
      </c>
      <c r="W10" s="534" t="s">
        <v>285</v>
      </c>
      <c r="X10" s="540" t="s">
        <v>269</v>
      </c>
      <c r="Y10" s="536">
        <v>1</v>
      </c>
      <c r="Z10" s="537">
        <v>0</v>
      </c>
      <c r="AA10" s="537">
        <v>0</v>
      </c>
      <c r="AB10" s="537">
        <v>1</v>
      </c>
      <c r="AC10" s="537">
        <v>1</v>
      </c>
      <c r="AD10" s="537">
        <v>0</v>
      </c>
      <c r="AE10" s="537">
        <v>0</v>
      </c>
      <c r="AF10" s="537">
        <v>1</v>
      </c>
      <c r="AG10" s="537">
        <v>0</v>
      </c>
      <c r="AH10" s="537">
        <v>0</v>
      </c>
      <c r="AI10" s="537">
        <v>0</v>
      </c>
      <c r="AJ10" s="537">
        <v>0</v>
      </c>
      <c r="AK10" s="537">
        <v>0</v>
      </c>
      <c r="AL10" s="537">
        <v>0</v>
      </c>
      <c r="AM10" s="537">
        <v>0</v>
      </c>
      <c r="AN10" s="537">
        <v>0</v>
      </c>
    </row>
    <row r="11" spans="1:46" ht="14.95" customHeight="1" thickBot="1" x14ac:dyDescent="0.3">
      <c r="A11" s="518">
        <v>44828</v>
      </c>
      <c r="B11" s="517" t="s">
        <v>648</v>
      </c>
      <c r="C11" s="517" t="s">
        <v>177</v>
      </c>
      <c r="D11" s="577" t="s">
        <v>709</v>
      </c>
      <c r="E11" s="504" t="s">
        <v>3</v>
      </c>
      <c r="F11" s="504">
        <v>21</v>
      </c>
      <c r="G11" s="504">
        <v>38</v>
      </c>
      <c r="H11" s="504">
        <v>0</v>
      </c>
      <c r="I11" s="504">
        <v>0</v>
      </c>
      <c r="J11" s="504">
        <v>3</v>
      </c>
      <c r="K11" s="504">
        <v>3</v>
      </c>
      <c r="L11" s="504">
        <v>0</v>
      </c>
      <c r="M11" s="504">
        <v>0</v>
      </c>
      <c r="N11" s="504">
        <v>4</v>
      </c>
      <c r="O11" s="504">
        <v>0</v>
      </c>
      <c r="P11" s="504">
        <v>1</v>
      </c>
      <c r="Q11" s="504">
        <v>0</v>
      </c>
      <c r="R11" s="504">
        <v>5</v>
      </c>
      <c r="S11" s="506">
        <v>45982</v>
      </c>
      <c r="T11" s="520" t="s">
        <v>713</v>
      </c>
      <c r="U11" s="506" t="s">
        <v>285</v>
      </c>
      <c r="V11" s="506" t="s">
        <v>449</v>
      </c>
      <c r="W11" s="506" t="s">
        <v>299</v>
      </c>
      <c r="X11" s="508" t="s">
        <v>289</v>
      </c>
      <c r="Y11" s="509">
        <v>1</v>
      </c>
      <c r="Z11" s="510">
        <v>0</v>
      </c>
      <c r="AA11" s="510">
        <v>0</v>
      </c>
      <c r="AB11" s="510">
        <v>1</v>
      </c>
      <c r="AC11" s="510">
        <v>0</v>
      </c>
      <c r="AD11" s="510">
        <v>0</v>
      </c>
      <c r="AE11" s="510">
        <v>0</v>
      </c>
      <c r="AF11" s="510">
        <v>0</v>
      </c>
      <c r="AG11" s="510">
        <v>1</v>
      </c>
      <c r="AH11" s="510">
        <v>0</v>
      </c>
      <c r="AI11" s="510">
        <v>0</v>
      </c>
      <c r="AJ11" s="510">
        <v>1</v>
      </c>
      <c r="AK11" s="510">
        <v>0</v>
      </c>
      <c r="AL11" s="510">
        <v>0</v>
      </c>
      <c r="AM11" s="510">
        <v>0</v>
      </c>
      <c r="AN11" s="510">
        <v>0</v>
      </c>
    </row>
    <row r="12" spans="1:46" ht="14.95" customHeight="1" thickBot="1" x14ac:dyDescent="0.3">
      <c r="A12" s="518">
        <v>44871</v>
      </c>
      <c r="B12" s="517" t="s">
        <v>721</v>
      </c>
      <c r="C12" s="517" t="s">
        <v>30</v>
      </c>
      <c r="D12" s="577" t="s">
        <v>116</v>
      </c>
      <c r="E12" s="504" t="s">
        <v>1</v>
      </c>
      <c r="F12" s="504">
        <v>30</v>
      </c>
      <c r="G12" s="504">
        <v>29</v>
      </c>
      <c r="H12" s="504" t="s">
        <v>106</v>
      </c>
      <c r="I12" s="504" t="s">
        <v>106</v>
      </c>
      <c r="J12" s="504">
        <v>2</v>
      </c>
      <c r="K12" s="504">
        <v>1</v>
      </c>
      <c r="L12" s="504">
        <v>0</v>
      </c>
      <c r="M12" s="504">
        <v>6</v>
      </c>
      <c r="N12" s="504">
        <v>0</v>
      </c>
      <c r="O12" s="504">
        <v>0</v>
      </c>
      <c r="P12" s="504" t="s">
        <v>106</v>
      </c>
      <c r="Q12" s="504" t="s">
        <v>106</v>
      </c>
      <c r="R12" s="504">
        <v>2</v>
      </c>
      <c r="S12" s="506">
        <v>80790</v>
      </c>
      <c r="T12" s="610" t="s">
        <v>796</v>
      </c>
      <c r="U12" s="526" t="s">
        <v>313</v>
      </c>
      <c r="V12" s="506" t="s">
        <v>368</v>
      </c>
      <c r="W12" s="506" t="s">
        <v>299</v>
      </c>
      <c r="X12" s="508" t="s">
        <v>314</v>
      </c>
      <c r="Y12" s="509">
        <v>1</v>
      </c>
      <c r="Z12" s="510">
        <v>1</v>
      </c>
      <c r="AA12" s="510">
        <v>0</v>
      </c>
      <c r="AB12" s="510">
        <v>0</v>
      </c>
      <c r="AC12" s="510">
        <v>0</v>
      </c>
      <c r="AD12" s="510">
        <v>0</v>
      </c>
      <c r="AE12" s="510">
        <v>0</v>
      </c>
      <c r="AF12" s="510">
        <v>0</v>
      </c>
      <c r="AG12" s="510">
        <v>1</v>
      </c>
      <c r="AH12" s="510">
        <v>1</v>
      </c>
      <c r="AI12" s="510">
        <v>0</v>
      </c>
      <c r="AJ12" s="510">
        <v>0</v>
      </c>
      <c r="AK12" s="510">
        <v>0</v>
      </c>
      <c r="AL12" s="510">
        <v>0</v>
      </c>
      <c r="AM12" s="510">
        <v>0</v>
      </c>
      <c r="AN12" s="510">
        <v>0</v>
      </c>
    </row>
    <row r="13" spans="1:46" ht="14.95" customHeight="1" thickBot="1" x14ac:dyDescent="0.3">
      <c r="A13" s="576">
        <v>44877</v>
      </c>
      <c r="B13" s="517" t="s">
        <v>721</v>
      </c>
      <c r="C13" s="517" t="s">
        <v>32</v>
      </c>
      <c r="D13" s="577" t="s">
        <v>112</v>
      </c>
      <c r="E13" s="504" t="s">
        <v>3</v>
      </c>
      <c r="F13" s="504">
        <v>13</v>
      </c>
      <c r="G13" s="504">
        <v>20</v>
      </c>
      <c r="H13" s="504" t="s">
        <v>106</v>
      </c>
      <c r="I13" s="504" t="s">
        <v>106</v>
      </c>
      <c r="J13" s="504">
        <v>1</v>
      </c>
      <c r="K13" s="504">
        <v>1</v>
      </c>
      <c r="L13" s="504">
        <v>0</v>
      </c>
      <c r="M13" s="504">
        <v>2</v>
      </c>
      <c r="N13" s="504">
        <v>0</v>
      </c>
      <c r="O13" s="504">
        <v>0</v>
      </c>
      <c r="P13" s="504" t="s">
        <v>106</v>
      </c>
      <c r="Q13" s="504" t="s">
        <v>106</v>
      </c>
      <c r="R13" s="504">
        <v>2</v>
      </c>
      <c r="S13" s="506">
        <v>59662</v>
      </c>
      <c r="T13" s="520" t="s">
        <v>270</v>
      </c>
      <c r="U13" s="506" t="s">
        <v>266</v>
      </c>
      <c r="V13" s="506" t="s">
        <v>505</v>
      </c>
      <c r="W13" s="506" t="s">
        <v>261</v>
      </c>
      <c r="X13" s="508" t="s">
        <v>289</v>
      </c>
      <c r="Y13" s="509">
        <v>1</v>
      </c>
      <c r="Z13" s="510">
        <v>0</v>
      </c>
      <c r="AA13" s="510">
        <v>0</v>
      </c>
      <c r="AB13" s="510">
        <v>1</v>
      </c>
      <c r="AC13" s="510">
        <v>0</v>
      </c>
      <c r="AD13" s="510">
        <v>0</v>
      </c>
      <c r="AE13" s="510">
        <v>0</v>
      </c>
      <c r="AF13" s="510">
        <v>0</v>
      </c>
      <c r="AG13" s="510">
        <v>1</v>
      </c>
      <c r="AH13" s="510">
        <v>0</v>
      </c>
      <c r="AI13" s="510">
        <v>0</v>
      </c>
      <c r="AJ13" s="510">
        <v>1</v>
      </c>
      <c r="AK13" s="510">
        <v>0</v>
      </c>
      <c r="AL13" s="510">
        <v>0</v>
      </c>
      <c r="AM13" s="510">
        <v>0</v>
      </c>
      <c r="AN13" s="510">
        <v>0</v>
      </c>
    </row>
    <row r="14" spans="1:46" ht="14.95" customHeight="1" thickBot="1" x14ac:dyDescent="0.3">
      <c r="A14" s="518">
        <v>44884</v>
      </c>
      <c r="B14" s="517" t="s">
        <v>721</v>
      </c>
      <c r="C14" s="517" t="s">
        <v>35</v>
      </c>
      <c r="D14" s="577" t="s">
        <v>117</v>
      </c>
      <c r="E14" s="504" t="s">
        <v>3</v>
      </c>
      <c r="F14" s="504">
        <v>29</v>
      </c>
      <c r="G14" s="504">
        <v>52</v>
      </c>
      <c r="H14" s="504" t="s">
        <v>106</v>
      </c>
      <c r="I14" s="504" t="s">
        <v>106</v>
      </c>
      <c r="J14" s="504">
        <v>4</v>
      </c>
      <c r="K14" s="504">
        <v>3</v>
      </c>
      <c r="L14" s="504">
        <v>0</v>
      </c>
      <c r="M14" s="504">
        <v>1</v>
      </c>
      <c r="N14" s="504">
        <v>3</v>
      </c>
      <c r="O14" s="504">
        <v>1</v>
      </c>
      <c r="P14" s="504" t="s">
        <v>106</v>
      </c>
      <c r="Q14" s="504" t="s">
        <v>106</v>
      </c>
      <c r="R14" s="504">
        <v>8</v>
      </c>
      <c r="S14" s="506">
        <v>61811</v>
      </c>
      <c r="T14" s="520" t="s">
        <v>838</v>
      </c>
      <c r="U14" s="506" t="s">
        <v>322</v>
      </c>
      <c r="V14" s="506" t="s">
        <v>283</v>
      </c>
      <c r="W14" s="506" t="s">
        <v>324</v>
      </c>
      <c r="X14" s="506" t="s">
        <v>497</v>
      </c>
      <c r="Y14" s="613">
        <v>1</v>
      </c>
      <c r="Z14" s="614">
        <v>0</v>
      </c>
      <c r="AA14" s="614">
        <v>0</v>
      </c>
      <c r="AB14" s="614">
        <v>1</v>
      </c>
      <c r="AC14" s="614">
        <v>0</v>
      </c>
      <c r="AD14" s="614">
        <v>0</v>
      </c>
      <c r="AE14" s="614">
        <v>0</v>
      </c>
      <c r="AF14" s="614">
        <v>0</v>
      </c>
      <c r="AG14" s="614">
        <v>1</v>
      </c>
      <c r="AH14" s="614">
        <v>0</v>
      </c>
      <c r="AI14" s="614">
        <v>0</v>
      </c>
      <c r="AJ14" s="614">
        <v>1</v>
      </c>
      <c r="AK14" s="614">
        <v>0</v>
      </c>
      <c r="AL14" s="614">
        <v>0</v>
      </c>
      <c r="AM14" s="614">
        <v>0</v>
      </c>
      <c r="AN14" s="614">
        <v>0</v>
      </c>
    </row>
    <row r="15" spans="1:46" ht="14.95" thickBot="1" x14ac:dyDescent="0.3">
      <c r="A15" s="310"/>
      <c r="B15" s="311"/>
      <c r="C15" s="768" t="s">
        <v>187</v>
      </c>
      <c r="D15" s="769"/>
      <c r="E15" s="770"/>
      <c r="F15" s="571">
        <f>SUM(F6:F11)</f>
        <v>143</v>
      </c>
      <c r="G15" s="571">
        <f t="shared" ref="G15:R15" si="0">SUM(G6:G11)</f>
        <v>203</v>
      </c>
      <c r="H15" s="571">
        <f t="shared" si="0"/>
        <v>1</v>
      </c>
      <c r="I15" s="571">
        <f t="shared" si="0"/>
        <v>0</v>
      </c>
      <c r="J15" s="571">
        <f t="shared" si="0"/>
        <v>15</v>
      </c>
      <c r="K15" s="571">
        <f t="shared" si="0"/>
        <v>12</v>
      </c>
      <c r="L15" s="571">
        <f t="shared" si="0"/>
        <v>0</v>
      </c>
      <c r="M15" s="571">
        <f t="shared" si="0"/>
        <v>14</v>
      </c>
      <c r="N15" s="571">
        <f t="shared" si="0"/>
        <v>8</v>
      </c>
      <c r="O15" s="571">
        <f t="shared" si="0"/>
        <v>0</v>
      </c>
      <c r="P15" s="571">
        <f t="shared" si="0"/>
        <v>4</v>
      </c>
      <c r="Q15" s="571">
        <f t="shared" si="0"/>
        <v>1</v>
      </c>
      <c r="R15" s="571">
        <f t="shared" si="0"/>
        <v>26</v>
      </c>
      <c r="S15" s="320"/>
      <c r="T15" s="320"/>
      <c r="U15" s="320"/>
      <c r="V15" s="320"/>
      <c r="W15" s="321"/>
      <c r="X15" s="572" t="s">
        <v>187</v>
      </c>
      <c r="Y15" s="573">
        <f t="shared" ref="Y15:AN15" si="1">SUM(Y6:Y11)</f>
        <v>6</v>
      </c>
      <c r="Z15" s="571">
        <f t="shared" si="1"/>
        <v>2</v>
      </c>
      <c r="AA15" s="571">
        <f t="shared" si="1"/>
        <v>0</v>
      </c>
      <c r="AB15" s="571">
        <f t="shared" si="1"/>
        <v>4</v>
      </c>
      <c r="AC15" s="574">
        <f t="shared" si="1"/>
        <v>3</v>
      </c>
      <c r="AD15" s="574">
        <f t="shared" si="1"/>
        <v>1</v>
      </c>
      <c r="AE15" s="574">
        <f t="shared" si="1"/>
        <v>0</v>
      </c>
      <c r="AF15" s="574">
        <f t="shared" si="1"/>
        <v>2</v>
      </c>
      <c r="AG15" s="575">
        <f t="shared" si="1"/>
        <v>3</v>
      </c>
      <c r="AH15" s="575">
        <f t="shared" si="1"/>
        <v>1</v>
      </c>
      <c r="AI15" s="575">
        <f t="shared" si="1"/>
        <v>0</v>
      </c>
      <c r="AJ15" s="575">
        <f t="shared" si="1"/>
        <v>2</v>
      </c>
      <c r="AK15" s="571">
        <f t="shared" si="1"/>
        <v>0</v>
      </c>
      <c r="AL15" s="571">
        <f t="shared" si="1"/>
        <v>0</v>
      </c>
      <c r="AM15" s="571">
        <f t="shared" si="1"/>
        <v>0</v>
      </c>
      <c r="AN15" s="571">
        <f t="shared" si="1"/>
        <v>0</v>
      </c>
    </row>
    <row r="16" spans="1:46" ht="14.95" thickBot="1" x14ac:dyDescent="0.3">
      <c r="A16" s="310"/>
      <c r="B16" s="311"/>
      <c r="C16" s="771" t="s">
        <v>173</v>
      </c>
      <c r="D16" s="772"/>
      <c r="E16" s="773"/>
      <c r="F16" s="598">
        <f>SUM(F3+F4+F5+F12+F13+F14)</f>
        <v>138</v>
      </c>
      <c r="G16" s="598">
        <f>SUM(G3+G4+G5+G12+G13+G14)</f>
        <v>179</v>
      </c>
      <c r="H16" s="598" t="s">
        <v>106</v>
      </c>
      <c r="I16" s="598" t="s">
        <v>106</v>
      </c>
      <c r="J16" s="598">
        <f t="shared" ref="J16:O16" si="2">SUM(J3+J4+J5+J12+J13+J14)</f>
        <v>14</v>
      </c>
      <c r="K16" s="598">
        <f t="shared" si="2"/>
        <v>10</v>
      </c>
      <c r="L16" s="598">
        <f t="shared" si="2"/>
        <v>0</v>
      </c>
      <c r="M16" s="598">
        <f t="shared" si="2"/>
        <v>16</v>
      </c>
      <c r="N16" s="598">
        <f t="shared" si="2"/>
        <v>4</v>
      </c>
      <c r="O16" s="598">
        <f t="shared" si="2"/>
        <v>1</v>
      </c>
      <c r="P16" s="598" t="s">
        <v>106</v>
      </c>
      <c r="Q16" s="598" t="s">
        <v>106</v>
      </c>
      <c r="R16" s="598">
        <f>SUM(R3+R4+R5+R12+R13+R14)</f>
        <v>22</v>
      </c>
      <c r="S16" s="599"/>
      <c r="T16" s="599"/>
      <c r="U16" s="599"/>
      <c r="V16" s="599"/>
      <c r="W16" s="600"/>
      <c r="X16" s="601" t="s">
        <v>173</v>
      </c>
      <c r="Y16" s="615">
        <f t="shared" ref="Y16:AN16" si="3">SUM(Y3+Y4+Y5+Y12+Y13+Y14)</f>
        <v>6</v>
      </c>
      <c r="Z16" s="598">
        <f t="shared" si="3"/>
        <v>3</v>
      </c>
      <c r="AA16" s="598">
        <f t="shared" si="3"/>
        <v>0</v>
      </c>
      <c r="AB16" s="598">
        <f t="shared" si="3"/>
        <v>3</v>
      </c>
      <c r="AC16" s="616">
        <f t="shared" si="3"/>
        <v>3</v>
      </c>
      <c r="AD16" s="616">
        <f t="shared" si="3"/>
        <v>2</v>
      </c>
      <c r="AE16" s="616">
        <f t="shared" si="3"/>
        <v>0</v>
      </c>
      <c r="AF16" s="616">
        <f t="shared" si="3"/>
        <v>1</v>
      </c>
      <c r="AG16" s="617">
        <f t="shared" si="3"/>
        <v>3</v>
      </c>
      <c r="AH16" s="617">
        <f t="shared" si="3"/>
        <v>1</v>
      </c>
      <c r="AI16" s="617">
        <f t="shared" si="3"/>
        <v>0</v>
      </c>
      <c r="AJ16" s="617">
        <f t="shared" si="3"/>
        <v>2</v>
      </c>
      <c r="AK16" s="598">
        <f t="shared" si="3"/>
        <v>0</v>
      </c>
      <c r="AL16" s="598">
        <f t="shared" si="3"/>
        <v>0</v>
      </c>
      <c r="AM16" s="598">
        <f t="shared" si="3"/>
        <v>0</v>
      </c>
      <c r="AN16" s="598">
        <f t="shared" si="3"/>
        <v>0</v>
      </c>
    </row>
    <row r="17" spans="1:40" ht="14.95" thickBot="1" x14ac:dyDescent="0.3">
      <c r="A17" s="310"/>
      <c r="B17" s="311"/>
      <c r="C17" s="760" t="s">
        <v>107</v>
      </c>
      <c r="D17" s="761"/>
      <c r="E17" s="762"/>
      <c r="F17" s="422">
        <f>SUM(F3:F14)</f>
        <v>281</v>
      </c>
      <c r="G17" s="422">
        <f t="shared" ref="G17:R17" si="4">SUM(G3:G14)</f>
        <v>382</v>
      </c>
      <c r="H17" s="422">
        <f t="shared" si="4"/>
        <v>1</v>
      </c>
      <c r="I17" s="422">
        <f t="shared" si="4"/>
        <v>0</v>
      </c>
      <c r="J17" s="422">
        <f t="shared" si="4"/>
        <v>29</v>
      </c>
      <c r="K17" s="422">
        <f t="shared" si="4"/>
        <v>22</v>
      </c>
      <c r="L17" s="422">
        <f t="shared" si="4"/>
        <v>0</v>
      </c>
      <c r="M17" s="422">
        <f t="shared" si="4"/>
        <v>30</v>
      </c>
      <c r="N17" s="422">
        <f t="shared" si="4"/>
        <v>12</v>
      </c>
      <c r="O17" s="422">
        <f t="shared" si="4"/>
        <v>1</v>
      </c>
      <c r="P17" s="422">
        <f t="shared" si="4"/>
        <v>4</v>
      </c>
      <c r="Q17" s="422">
        <f t="shared" si="4"/>
        <v>1</v>
      </c>
      <c r="R17" s="422">
        <f t="shared" si="4"/>
        <v>48</v>
      </c>
      <c r="S17" s="419"/>
      <c r="T17" s="419"/>
      <c r="U17" s="419"/>
      <c r="V17" s="419"/>
      <c r="W17" s="13"/>
      <c r="X17" s="447" t="s">
        <v>107</v>
      </c>
      <c r="Y17" s="449">
        <f t="shared" ref="Y17:AN17" si="5">SUM(Y3:Y14)</f>
        <v>12</v>
      </c>
      <c r="Z17" s="422">
        <f t="shared" si="5"/>
        <v>5</v>
      </c>
      <c r="AA17" s="422">
        <f t="shared" si="5"/>
        <v>0</v>
      </c>
      <c r="AB17" s="422">
        <f t="shared" si="5"/>
        <v>7</v>
      </c>
      <c r="AC17" s="420">
        <f t="shared" si="5"/>
        <v>6</v>
      </c>
      <c r="AD17" s="420">
        <f t="shared" si="5"/>
        <v>3</v>
      </c>
      <c r="AE17" s="420">
        <f t="shared" si="5"/>
        <v>0</v>
      </c>
      <c r="AF17" s="420">
        <f t="shared" si="5"/>
        <v>3</v>
      </c>
      <c r="AG17" s="421">
        <f t="shared" si="5"/>
        <v>6</v>
      </c>
      <c r="AH17" s="421">
        <f t="shared" si="5"/>
        <v>2</v>
      </c>
      <c r="AI17" s="421">
        <f t="shared" si="5"/>
        <v>0</v>
      </c>
      <c r="AJ17" s="421">
        <f t="shared" si="5"/>
        <v>4</v>
      </c>
      <c r="AK17" s="422">
        <f t="shared" si="5"/>
        <v>0</v>
      </c>
      <c r="AL17" s="422">
        <f t="shared" si="5"/>
        <v>0</v>
      </c>
      <c r="AM17" s="422">
        <f t="shared" si="5"/>
        <v>0</v>
      </c>
      <c r="AN17" s="422">
        <f t="shared" si="5"/>
        <v>0</v>
      </c>
    </row>
    <row r="18" spans="1:40" x14ac:dyDescent="0.25">
      <c r="A18" t="s">
        <v>744</v>
      </c>
    </row>
    <row r="19" spans="1:40" x14ac:dyDescent="0.25">
      <c r="A19" s="565" t="s">
        <v>242</v>
      </c>
      <c r="B19" s="407"/>
      <c r="C19" s="407"/>
      <c r="D19" s="407"/>
      <c r="E19" s="407"/>
      <c r="F19" s="407"/>
      <c r="G19" s="407"/>
      <c r="H19" s="407"/>
      <c r="I19" s="407"/>
      <c r="J19" s="407"/>
      <c r="K19" s="407"/>
      <c r="L19" s="407"/>
      <c r="M19" s="407"/>
      <c r="N19" s="407"/>
      <c r="O19" s="407"/>
      <c r="P19" s="407"/>
      <c r="Q19" s="407"/>
      <c r="R19" s="407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7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</row>
    <row r="20" spans="1:40" x14ac:dyDescent="0.25">
      <c r="A20" s="565" t="s">
        <v>665</v>
      </c>
      <c r="B20" s="407"/>
      <c r="C20" s="407"/>
      <c r="D20" s="407"/>
      <c r="E20" s="407"/>
      <c r="F20" s="407"/>
      <c r="G20" s="407"/>
      <c r="H20" s="407"/>
      <c r="I20" s="407"/>
      <c r="J20" s="407"/>
      <c r="K20" s="407"/>
      <c r="L20" s="407"/>
      <c r="M20" s="407"/>
      <c r="N20" s="407"/>
      <c r="O20" s="407"/>
      <c r="P20" s="407"/>
      <c r="Q20" s="407"/>
      <c r="R20" s="407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7"/>
      <c r="AE20" s="407"/>
      <c r="AF20" s="407"/>
      <c r="AG20" s="407"/>
      <c r="AH20" s="407"/>
      <c r="AI20" s="407"/>
      <c r="AJ20" s="407"/>
      <c r="AK20" s="407"/>
      <c r="AL20" s="407"/>
      <c r="AM20" s="407"/>
      <c r="AN20" s="407"/>
    </row>
    <row r="21" spans="1:40" x14ac:dyDescent="0.25">
      <c r="A21" s="565" t="s">
        <v>678</v>
      </c>
      <c r="B21" s="407"/>
      <c r="C21" s="407"/>
      <c r="D21" s="407"/>
      <c r="E21" s="407"/>
      <c r="F21" s="407"/>
      <c r="G21" s="407"/>
      <c r="H21" s="407"/>
      <c r="I21" s="407"/>
      <c r="J21" s="407"/>
      <c r="K21" s="407"/>
      <c r="L21" s="407"/>
      <c r="M21" s="407"/>
      <c r="N21" s="407"/>
      <c r="O21" s="407"/>
      <c r="P21" s="407"/>
      <c r="Q21" s="407"/>
      <c r="R21" s="407"/>
      <c r="S21" s="407"/>
      <c r="T21" s="407"/>
      <c r="U21" s="407"/>
      <c r="V21" s="407"/>
      <c r="W21" s="407"/>
      <c r="X21" s="407"/>
      <c r="Y21" s="407"/>
      <c r="Z21" s="407"/>
      <c r="AA21" s="407"/>
      <c r="AB21" s="407"/>
      <c r="AC21" s="407"/>
      <c r="AD21" s="407"/>
      <c r="AE21" s="407"/>
      <c r="AF21" s="407"/>
      <c r="AG21" s="407"/>
      <c r="AH21" s="407"/>
      <c r="AI21" s="407"/>
      <c r="AJ21" s="407"/>
      <c r="AK21" s="407"/>
      <c r="AL21" s="407"/>
      <c r="AM21" s="407"/>
      <c r="AN21" s="407"/>
    </row>
    <row r="22" spans="1:40" x14ac:dyDescent="0.25">
      <c r="A22" s="751" t="s">
        <v>696</v>
      </c>
      <c r="B22" s="743"/>
      <c r="C22" s="743"/>
      <c r="D22" s="743"/>
      <c r="E22" s="743"/>
      <c r="F22" s="743"/>
      <c r="G22" s="743"/>
      <c r="H22" s="743"/>
      <c r="I22" s="743"/>
      <c r="J22" s="743"/>
      <c r="K22" s="743"/>
      <c r="L22" s="743"/>
      <c r="M22" s="743"/>
      <c r="N22" s="743"/>
      <c r="O22" s="743"/>
      <c r="P22" s="743"/>
      <c r="Q22" s="743"/>
      <c r="R22" s="743"/>
      <c r="S22" s="743"/>
      <c r="T22" s="743"/>
      <c r="U22" s="743"/>
      <c r="V22" s="743"/>
      <c r="W22" s="743"/>
      <c r="X22" s="743"/>
      <c r="Y22" s="743"/>
      <c r="Z22" s="743"/>
      <c r="AA22" s="743"/>
      <c r="AB22" s="743"/>
      <c r="AC22" s="743"/>
      <c r="AD22" s="743"/>
      <c r="AE22" s="743"/>
      <c r="AF22" s="743"/>
      <c r="AG22" s="743"/>
      <c r="AH22" s="743"/>
      <c r="AI22" s="743"/>
      <c r="AJ22" s="743"/>
      <c r="AK22" s="743"/>
      <c r="AL22" s="743"/>
      <c r="AM22" s="743"/>
      <c r="AN22" s="743"/>
    </row>
    <row r="23" spans="1:40" x14ac:dyDescent="0.25">
      <c r="A23" t="s">
        <v>735</v>
      </c>
    </row>
    <row r="24" spans="1:40" x14ac:dyDescent="0.25">
      <c r="A24" t="s">
        <v>738</v>
      </c>
    </row>
    <row r="25" spans="1:40" x14ac:dyDescent="0.25">
      <c r="A25" t="s">
        <v>770</v>
      </c>
    </row>
    <row r="26" spans="1:40" x14ac:dyDescent="0.25">
      <c r="A26" t="s">
        <v>697</v>
      </c>
    </row>
    <row r="28" spans="1:40" x14ac:dyDescent="0.25">
      <c r="A28" s="155"/>
      <c r="B28" t="s">
        <v>44</v>
      </c>
    </row>
    <row r="29" spans="1:40" x14ac:dyDescent="0.25">
      <c r="A29" s="153"/>
      <c r="B29" t="s">
        <v>42</v>
      </c>
    </row>
    <row r="30" spans="1:40" x14ac:dyDescent="0.25">
      <c r="A30" s="154"/>
      <c r="B30" t="s">
        <v>43</v>
      </c>
    </row>
    <row r="31" spans="1:40" x14ac:dyDescent="0.25">
      <c r="A31" s="455" t="s">
        <v>28</v>
      </c>
    </row>
  </sheetData>
  <mergeCells count="14">
    <mergeCell ref="A22:AN22"/>
    <mergeCell ref="Y1:AB1"/>
    <mergeCell ref="AC1:AF1"/>
    <mergeCell ref="AG1:AJ1"/>
    <mergeCell ref="AK1:AN1"/>
    <mergeCell ref="N1:O1"/>
    <mergeCell ref="P1:R1"/>
    <mergeCell ref="C17:E17"/>
    <mergeCell ref="H1:I1"/>
    <mergeCell ref="E1:G1"/>
    <mergeCell ref="A1:C1"/>
    <mergeCell ref="J1:M1"/>
    <mergeCell ref="C15:E15"/>
    <mergeCell ref="C16:E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T32"/>
  <sheetViews>
    <sheetView workbookViewId="0">
      <pane ySplit="2" topLeftCell="A3" activePane="bottomLeft" state="frozen"/>
      <selection pane="bottomLeft" activeCell="S23" sqref="S23"/>
    </sheetView>
  </sheetViews>
  <sheetFormatPr defaultRowHeight="14.3" x14ac:dyDescent="0.25"/>
  <cols>
    <col min="1" max="1" width="7.5" customWidth="1"/>
    <col min="2" max="2" width="4.5" bestFit="1" customWidth="1"/>
    <col min="3" max="3" width="11.5" customWidth="1"/>
    <col min="4" max="4" width="4.875" bestFit="1" customWidth="1"/>
    <col min="5" max="5" width="3.625" customWidth="1"/>
    <col min="6" max="7" width="4" bestFit="1" customWidth="1"/>
    <col min="8" max="18" width="3.625" customWidth="1"/>
    <col min="19" max="20" width="6.375" customWidth="1"/>
    <col min="21" max="21" width="28.5" bestFit="1" customWidth="1"/>
    <col min="22" max="22" width="27.25" bestFit="1" customWidth="1"/>
    <col min="23" max="23" width="30.5" bestFit="1" customWidth="1"/>
    <col min="24" max="24" width="30.5" customWidth="1"/>
    <col min="25" max="40" width="3.625" customWidth="1"/>
    <col min="42" max="42" width="13.125" bestFit="1" customWidth="1"/>
    <col min="45" max="45" width="13.125" bestFit="1" customWidth="1"/>
  </cols>
  <sheetData>
    <row r="1" spans="1:46" ht="14.95" customHeight="1" thickBot="1" x14ac:dyDescent="0.3">
      <c r="A1" s="783" t="s">
        <v>198</v>
      </c>
      <c r="B1" s="784"/>
      <c r="C1" s="784"/>
      <c r="D1" s="149"/>
      <c r="E1" s="785" t="s">
        <v>24</v>
      </c>
      <c r="F1" s="786"/>
      <c r="G1" s="787"/>
      <c r="H1" s="785" t="s">
        <v>23</v>
      </c>
      <c r="I1" s="787"/>
      <c r="J1" s="780" t="s">
        <v>6</v>
      </c>
      <c r="K1" s="781"/>
      <c r="L1" s="781"/>
      <c r="M1" s="782"/>
      <c r="N1" s="780" t="s">
        <v>7</v>
      </c>
      <c r="O1" s="782"/>
      <c r="P1" s="780" t="s">
        <v>25</v>
      </c>
      <c r="Q1" s="781"/>
      <c r="R1" s="782"/>
      <c r="S1" s="400" t="s">
        <v>8</v>
      </c>
      <c r="T1" s="400" t="s">
        <v>9</v>
      </c>
      <c r="U1" s="17" t="s">
        <v>10</v>
      </c>
      <c r="V1" s="16" t="s">
        <v>11</v>
      </c>
      <c r="W1" s="18" t="s">
        <v>26</v>
      </c>
      <c r="X1" s="171" t="s">
        <v>27</v>
      </c>
      <c r="Y1" s="774" t="s">
        <v>20</v>
      </c>
      <c r="Z1" s="753"/>
      <c r="AA1" s="753"/>
      <c r="AB1" s="754"/>
      <c r="AC1" s="774" t="s">
        <v>61</v>
      </c>
      <c r="AD1" s="753"/>
      <c r="AE1" s="753"/>
      <c r="AF1" s="754"/>
      <c r="AG1" s="774" t="s">
        <v>62</v>
      </c>
      <c r="AH1" s="753"/>
      <c r="AI1" s="753"/>
      <c r="AJ1" s="754"/>
      <c r="AK1" s="774" t="s">
        <v>63</v>
      </c>
      <c r="AL1" s="775"/>
      <c r="AM1" s="775"/>
      <c r="AN1" s="776"/>
      <c r="AP1" s="391" t="s">
        <v>143</v>
      </c>
      <c r="AQ1" s="14"/>
      <c r="AS1" s="391" t="s">
        <v>143</v>
      </c>
    </row>
    <row r="2" spans="1:46" ht="14.95" customHeight="1" thickBot="1" x14ac:dyDescent="0.3">
      <c r="A2" s="19" t="s">
        <v>19</v>
      </c>
      <c r="B2" s="20" t="s">
        <v>18</v>
      </c>
      <c r="C2" s="21" t="s">
        <v>17</v>
      </c>
      <c r="D2" s="21" t="s">
        <v>41</v>
      </c>
      <c r="E2" s="22" t="s">
        <v>16</v>
      </c>
      <c r="F2" s="22" t="s">
        <v>4</v>
      </c>
      <c r="G2" s="22" t="s">
        <v>5</v>
      </c>
      <c r="H2" s="23" t="s">
        <v>12</v>
      </c>
      <c r="I2" s="23" t="s">
        <v>3</v>
      </c>
      <c r="J2" s="23" t="s">
        <v>12</v>
      </c>
      <c r="K2" s="23" t="s">
        <v>13</v>
      </c>
      <c r="L2" s="23" t="s">
        <v>2</v>
      </c>
      <c r="M2" s="23" t="s">
        <v>14</v>
      </c>
      <c r="N2" s="23" t="s">
        <v>15</v>
      </c>
      <c r="O2" s="23" t="s">
        <v>16</v>
      </c>
      <c r="P2" s="23" t="s">
        <v>21</v>
      </c>
      <c r="Q2" s="23" t="s">
        <v>22</v>
      </c>
      <c r="R2" s="23" t="s">
        <v>12</v>
      </c>
      <c r="S2" s="24"/>
      <c r="T2" s="25"/>
      <c r="U2" s="26"/>
      <c r="V2" s="24"/>
      <c r="W2" s="172"/>
      <c r="X2" s="27"/>
      <c r="Y2" s="335" t="s">
        <v>0</v>
      </c>
      <c r="Z2" s="335" t="s">
        <v>1</v>
      </c>
      <c r="AA2" s="335" t="s">
        <v>2</v>
      </c>
      <c r="AB2" s="335" t="s">
        <v>3</v>
      </c>
      <c r="AC2" s="335" t="s">
        <v>0</v>
      </c>
      <c r="AD2" s="335" t="s">
        <v>1</v>
      </c>
      <c r="AE2" s="335" t="s">
        <v>2</v>
      </c>
      <c r="AF2" s="335" t="s">
        <v>3</v>
      </c>
      <c r="AG2" s="335" t="s">
        <v>0</v>
      </c>
      <c r="AH2" s="335" t="s">
        <v>1</v>
      </c>
      <c r="AI2" s="335" t="s">
        <v>2</v>
      </c>
      <c r="AJ2" s="335" t="s">
        <v>3</v>
      </c>
      <c r="AK2" s="335" t="s">
        <v>0</v>
      </c>
      <c r="AL2" s="335" t="s">
        <v>1</v>
      </c>
      <c r="AM2" s="335" t="s">
        <v>2</v>
      </c>
      <c r="AN2" s="335" t="s">
        <v>3</v>
      </c>
      <c r="AP2" s="367" t="s">
        <v>107</v>
      </c>
      <c r="AQ2" s="204"/>
      <c r="AS2" s="368" t="s">
        <v>130</v>
      </c>
      <c r="AT2" s="204"/>
    </row>
    <row r="3" spans="1:46" ht="14.95" customHeight="1" thickBot="1" x14ac:dyDescent="0.3">
      <c r="A3" s="528">
        <v>44751</v>
      </c>
      <c r="B3" s="529" t="s">
        <v>514</v>
      </c>
      <c r="C3" s="529" t="s">
        <v>30</v>
      </c>
      <c r="D3" s="529" t="s">
        <v>512</v>
      </c>
      <c r="E3" s="530" t="s">
        <v>1</v>
      </c>
      <c r="F3" s="530">
        <v>30</v>
      </c>
      <c r="G3" s="530">
        <v>28</v>
      </c>
      <c r="H3" s="530" t="s">
        <v>106</v>
      </c>
      <c r="I3" s="530" t="s">
        <v>106</v>
      </c>
      <c r="J3" s="530">
        <v>3</v>
      </c>
      <c r="K3" s="530">
        <v>3</v>
      </c>
      <c r="L3" s="530">
        <v>0</v>
      </c>
      <c r="M3" s="530">
        <v>3</v>
      </c>
      <c r="N3" s="530">
        <v>1</v>
      </c>
      <c r="O3" s="530">
        <v>1</v>
      </c>
      <c r="P3" s="530" t="s">
        <v>106</v>
      </c>
      <c r="Q3" s="530" t="s">
        <v>106</v>
      </c>
      <c r="R3" s="530">
        <v>3</v>
      </c>
      <c r="S3" s="531">
        <v>47668</v>
      </c>
      <c r="T3" s="679" t="s">
        <v>509</v>
      </c>
      <c r="U3" s="533" t="s">
        <v>510</v>
      </c>
      <c r="V3" s="531" t="s">
        <v>511</v>
      </c>
      <c r="W3" s="534" t="s">
        <v>313</v>
      </c>
      <c r="X3" s="535" t="s">
        <v>269</v>
      </c>
      <c r="Y3" s="536">
        <v>1</v>
      </c>
      <c r="Z3" s="536">
        <v>1</v>
      </c>
      <c r="AA3" s="536">
        <v>0</v>
      </c>
      <c r="AB3" s="537">
        <v>0</v>
      </c>
      <c r="AC3" s="536">
        <v>1</v>
      </c>
      <c r="AD3" s="536">
        <v>1</v>
      </c>
      <c r="AE3" s="536">
        <v>0</v>
      </c>
      <c r="AF3" s="537">
        <v>0</v>
      </c>
      <c r="AG3" s="536">
        <v>0</v>
      </c>
      <c r="AH3" s="536">
        <v>0</v>
      </c>
      <c r="AI3" s="536">
        <v>0</v>
      </c>
      <c r="AJ3" s="537">
        <v>0</v>
      </c>
      <c r="AK3" s="536">
        <v>0</v>
      </c>
      <c r="AL3" s="536">
        <v>0</v>
      </c>
      <c r="AM3" s="536">
        <v>0</v>
      </c>
      <c r="AN3" s="537">
        <v>0</v>
      </c>
      <c r="AP3" s="386" t="s">
        <v>132</v>
      </c>
      <c r="AQ3" s="387">
        <f>Australiaalltestshistplayed</f>
        <v>675</v>
      </c>
      <c r="AS3" s="386" t="s">
        <v>132</v>
      </c>
      <c r="AT3" s="387">
        <f>AustraliaWChistplayed</f>
        <v>53</v>
      </c>
    </row>
    <row r="4" spans="1:46" ht="14.95" customHeight="1" thickBot="1" x14ac:dyDescent="0.3">
      <c r="A4" s="528">
        <v>44758</v>
      </c>
      <c r="B4" s="529" t="s">
        <v>514</v>
      </c>
      <c r="C4" s="529" t="s">
        <v>30</v>
      </c>
      <c r="D4" s="529" t="s">
        <v>128</v>
      </c>
      <c r="E4" s="530" t="s">
        <v>3</v>
      </c>
      <c r="F4" s="530">
        <v>17</v>
      </c>
      <c r="G4" s="530">
        <v>25</v>
      </c>
      <c r="H4" s="530" t="s">
        <v>106</v>
      </c>
      <c r="I4" s="530" t="s">
        <v>106</v>
      </c>
      <c r="J4" s="530">
        <v>2</v>
      </c>
      <c r="K4" s="530">
        <v>2</v>
      </c>
      <c r="L4" s="530">
        <v>0</v>
      </c>
      <c r="M4" s="530">
        <v>1</v>
      </c>
      <c r="N4" s="530">
        <v>1</v>
      </c>
      <c r="O4" s="530">
        <v>0</v>
      </c>
      <c r="P4" s="530" t="s">
        <v>106</v>
      </c>
      <c r="Q4" s="530" t="s">
        <v>106</v>
      </c>
      <c r="R4" s="530">
        <v>1</v>
      </c>
      <c r="S4" s="534">
        <v>46536</v>
      </c>
      <c r="T4" s="538" t="s">
        <v>310</v>
      </c>
      <c r="U4" s="531" t="s">
        <v>313</v>
      </c>
      <c r="V4" s="533" t="s">
        <v>518</v>
      </c>
      <c r="W4" s="534" t="s">
        <v>565</v>
      </c>
      <c r="X4" s="535" t="s">
        <v>269</v>
      </c>
      <c r="Y4" s="536">
        <v>1</v>
      </c>
      <c r="Z4" s="536">
        <v>0</v>
      </c>
      <c r="AA4" s="536">
        <v>0</v>
      </c>
      <c r="AB4" s="537">
        <v>1</v>
      </c>
      <c r="AC4" s="536">
        <v>1</v>
      </c>
      <c r="AD4" s="536">
        <v>0</v>
      </c>
      <c r="AE4" s="536">
        <v>0</v>
      </c>
      <c r="AF4" s="537">
        <v>1</v>
      </c>
      <c r="AG4" s="536">
        <v>0</v>
      </c>
      <c r="AH4" s="536">
        <v>0</v>
      </c>
      <c r="AI4" s="536">
        <v>0</v>
      </c>
      <c r="AJ4" s="537">
        <v>0</v>
      </c>
      <c r="AK4" s="536">
        <v>0</v>
      </c>
      <c r="AL4" s="536">
        <v>0</v>
      </c>
      <c r="AM4" s="536">
        <v>0</v>
      </c>
      <c r="AN4" s="537">
        <v>0</v>
      </c>
      <c r="AP4" s="388" t="s">
        <v>133</v>
      </c>
      <c r="AQ4" s="389">
        <f>Australiaalltestshistwon</f>
        <v>339</v>
      </c>
      <c r="AS4" s="388" t="s">
        <v>133</v>
      </c>
      <c r="AT4" s="389">
        <f>AustraliaWChistwon</f>
        <v>42</v>
      </c>
    </row>
    <row r="5" spans="1:46" ht="14.95" customHeight="1" thickBot="1" x14ac:dyDescent="0.3">
      <c r="A5" s="528">
        <v>44765</v>
      </c>
      <c r="B5" s="541" t="s">
        <v>514</v>
      </c>
      <c r="C5" s="529" t="s">
        <v>30</v>
      </c>
      <c r="D5" s="529" t="s">
        <v>614</v>
      </c>
      <c r="E5" s="530" t="s">
        <v>3</v>
      </c>
      <c r="F5" s="530">
        <v>17</v>
      </c>
      <c r="G5" s="542">
        <v>21</v>
      </c>
      <c r="H5" s="542" t="s">
        <v>106</v>
      </c>
      <c r="I5" s="530" t="s">
        <v>106</v>
      </c>
      <c r="J5" s="530">
        <v>2</v>
      </c>
      <c r="K5" s="530">
        <v>2</v>
      </c>
      <c r="L5" s="530">
        <v>0</v>
      </c>
      <c r="M5" s="530">
        <v>1</v>
      </c>
      <c r="N5" s="530">
        <v>0</v>
      </c>
      <c r="O5" s="530">
        <v>0</v>
      </c>
      <c r="P5" s="530" t="s">
        <v>106</v>
      </c>
      <c r="Q5" s="530" t="s">
        <v>106</v>
      </c>
      <c r="R5" s="530">
        <v>2</v>
      </c>
      <c r="S5" s="534">
        <v>43274</v>
      </c>
      <c r="T5" s="538" t="s">
        <v>611</v>
      </c>
      <c r="U5" s="539" t="s">
        <v>565</v>
      </c>
      <c r="V5" s="534" t="s">
        <v>449</v>
      </c>
      <c r="W5" s="534" t="s">
        <v>313</v>
      </c>
      <c r="X5" s="533" t="s">
        <v>510</v>
      </c>
      <c r="Y5" s="536">
        <v>1</v>
      </c>
      <c r="Z5" s="536">
        <v>0</v>
      </c>
      <c r="AA5" s="536">
        <v>0</v>
      </c>
      <c r="AB5" s="537">
        <v>1</v>
      </c>
      <c r="AC5" s="536">
        <v>1</v>
      </c>
      <c r="AD5" s="536">
        <v>0</v>
      </c>
      <c r="AE5" s="536">
        <v>0</v>
      </c>
      <c r="AF5" s="537">
        <v>1</v>
      </c>
      <c r="AG5" s="536">
        <v>0</v>
      </c>
      <c r="AH5" s="536">
        <v>0</v>
      </c>
      <c r="AI5" s="536">
        <v>0</v>
      </c>
      <c r="AJ5" s="537">
        <v>0</v>
      </c>
      <c r="AK5" s="536">
        <v>0</v>
      </c>
      <c r="AL5" s="536">
        <v>0</v>
      </c>
      <c r="AM5" s="536">
        <v>0</v>
      </c>
      <c r="AN5" s="537">
        <v>0</v>
      </c>
      <c r="AP5" s="388" t="s">
        <v>139</v>
      </c>
      <c r="AQ5" s="389">
        <f>Australiaalltestshistdrawn</f>
        <v>22</v>
      </c>
      <c r="AS5" s="388" t="s">
        <v>139</v>
      </c>
      <c r="AT5" s="389">
        <f>AustraliaWChistdrawn</f>
        <v>0</v>
      </c>
    </row>
    <row r="6" spans="1:46" ht="14.95" customHeight="1" thickBot="1" x14ac:dyDescent="0.3">
      <c r="A6" s="501">
        <v>44779</v>
      </c>
      <c r="B6" s="502" t="s">
        <v>648</v>
      </c>
      <c r="C6" s="503" t="s">
        <v>37</v>
      </c>
      <c r="D6" s="503" t="s">
        <v>656</v>
      </c>
      <c r="E6" s="504" t="s">
        <v>1</v>
      </c>
      <c r="F6" s="504">
        <v>41</v>
      </c>
      <c r="G6" s="505">
        <v>26</v>
      </c>
      <c r="H6" s="505">
        <v>1</v>
      </c>
      <c r="I6" s="504">
        <v>0</v>
      </c>
      <c r="J6" s="504">
        <v>5</v>
      </c>
      <c r="K6" s="504">
        <v>4</v>
      </c>
      <c r="L6" s="504">
        <v>0</v>
      </c>
      <c r="M6" s="504">
        <v>2</v>
      </c>
      <c r="N6" s="504">
        <v>0</v>
      </c>
      <c r="O6" s="504">
        <v>0</v>
      </c>
      <c r="P6" s="504">
        <v>0</v>
      </c>
      <c r="Q6" s="504">
        <v>0</v>
      </c>
      <c r="R6" s="504">
        <v>2</v>
      </c>
      <c r="S6" s="506">
        <v>33000</v>
      </c>
      <c r="T6" s="610" t="s">
        <v>321</v>
      </c>
      <c r="U6" s="507" t="s">
        <v>282</v>
      </c>
      <c r="V6" s="506" t="s">
        <v>505</v>
      </c>
      <c r="W6" s="506" t="s">
        <v>322</v>
      </c>
      <c r="X6" s="508" t="s">
        <v>305</v>
      </c>
      <c r="Y6" s="509">
        <v>1</v>
      </c>
      <c r="Z6" s="509">
        <v>1</v>
      </c>
      <c r="AA6" s="509">
        <v>0</v>
      </c>
      <c r="AB6" s="510">
        <v>0</v>
      </c>
      <c r="AC6" s="509">
        <v>0</v>
      </c>
      <c r="AD6" s="509">
        <v>0</v>
      </c>
      <c r="AE6" s="509">
        <v>0</v>
      </c>
      <c r="AF6" s="510">
        <v>0</v>
      </c>
      <c r="AG6" s="509">
        <v>1</v>
      </c>
      <c r="AH6" s="509">
        <v>1</v>
      </c>
      <c r="AI6" s="509">
        <v>0</v>
      </c>
      <c r="AJ6" s="510">
        <v>0</v>
      </c>
      <c r="AK6" s="509">
        <v>0</v>
      </c>
      <c r="AL6" s="509">
        <v>0</v>
      </c>
      <c r="AM6" s="509">
        <v>0</v>
      </c>
      <c r="AN6" s="510">
        <v>0</v>
      </c>
      <c r="AP6" s="388" t="s">
        <v>134</v>
      </c>
      <c r="AQ6" s="389">
        <f>Australiaalltestshistlost</f>
        <v>314</v>
      </c>
      <c r="AS6" s="388" t="s">
        <v>134</v>
      </c>
      <c r="AT6" s="389">
        <f>AustraliaWChistlost</f>
        <v>11</v>
      </c>
    </row>
    <row r="7" spans="1:46" ht="14.95" customHeight="1" thickBot="1" x14ac:dyDescent="0.3">
      <c r="A7" s="501">
        <v>44786</v>
      </c>
      <c r="B7" s="502" t="s">
        <v>648</v>
      </c>
      <c r="C7" s="503" t="s">
        <v>37</v>
      </c>
      <c r="D7" s="503" t="s">
        <v>664</v>
      </c>
      <c r="E7" s="504" t="s">
        <v>3</v>
      </c>
      <c r="F7" s="504">
        <v>17</v>
      </c>
      <c r="G7" s="505">
        <v>48</v>
      </c>
      <c r="H7" s="568">
        <v>0</v>
      </c>
      <c r="I7" s="505">
        <v>0</v>
      </c>
      <c r="J7" s="504">
        <v>2</v>
      </c>
      <c r="K7" s="504">
        <v>2</v>
      </c>
      <c r="L7" s="504">
        <v>0</v>
      </c>
      <c r="M7" s="504">
        <v>1</v>
      </c>
      <c r="N7" s="504">
        <v>1</v>
      </c>
      <c r="O7" s="504">
        <v>0</v>
      </c>
      <c r="P7" s="504">
        <v>1</v>
      </c>
      <c r="Q7" s="504">
        <v>0</v>
      </c>
      <c r="R7" s="504">
        <v>7</v>
      </c>
      <c r="S7" s="506">
        <v>23155</v>
      </c>
      <c r="T7" s="520" t="s">
        <v>667</v>
      </c>
      <c r="U7" s="507" t="s">
        <v>322</v>
      </c>
      <c r="V7" s="506" t="s">
        <v>505</v>
      </c>
      <c r="W7" s="506" t="s">
        <v>282</v>
      </c>
      <c r="X7" s="508" t="s">
        <v>305</v>
      </c>
      <c r="Y7" s="509">
        <v>1</v>
      </c>
      <c r="Z7" s="509">
        <v>0</v>
      </c>
      <c r="AA7" s="509">
        <v>0</v>
      </c>
      <c r="AB7" s="510">
        <v>1</v>
      </c>
      <c r="AC7" s="509">
        <v>0</v>
      </c>
      <c r="AD7" s="509">
        <v>0</v>
      </c>
      <c r="AE7" s="509">
        <v>0</v>
      </c>
      <c r="AF7" s="510">
        <v>0</v>
      </c>
      <c r="AG7" s="509">
        <v>1</v>
      </c>
      <c r="AH7" s="509">
        <v>0</v>
      </c>
      <c r="AI7" s="509">
        <v>0</v>
      </c>
      <c r="AJ7" s="510">
        <v>1</v>
      </c>
      <c r="AK7" s="509">
        <v>0</v>
      </c>
      <c r="AL7" s="509">
        <v>0</v>
      </c>
      <c r="AM7" s="509">
        <v>0</v>
      </c>
      <c r="AN7" s="510">
        <v>0</v>
      </c>
      <c r="AP7" s="388" t="s">
        <v>140</v>
      </c>
      <c r="AQ7" s="389">
        <f>Australiaalltestshistptsscored</f>
        <v>14305</v>
      </c>
      <c r="AS7" s="388" t="s">
        <v>140</v>
      </c>
      <c r="AT7" s="389">
        <f>AustraliaWChistptsscored</f>
        <v>1797</v>
      </c>
    </row>
    <row r="8" spans="1:46" ht="14.95" customHeight="1" thickBot="1" x14ac:dyDescent="0.35">
      <c r="A8" s="528">
        <v>44800</v>
      </c>
      <c r="B8" s="578" t="s">
        <v>648</v>
      </c>
      <c r="C8" s="529" t="s">
        <v>177</v>
      </c>
      <c r="D8" s="541" t="s">
        <v>670</v>
      </c>
      <c r="E8" s="530" t="s">
        <v>1</v>
      </c>
      <c r="F8" s="530">
        <v>25</v>
      </c>
      <c r="G8" s="530">
        <v>17</v>
      </c>
      <c r="H8" s="530">
        <v>0</v>
      </c>
      <c r="I8" s="530">
        <v>0</v>
      </c>
      <c r="J8" s="530">
        <v>3</v>
      </c>
      <c r="K8" s="530">
        <v>2</v>
      </c>
      <c r="L8" s="530">
        <v>0</v>
      </c>
      <c r="M8" s="530">
        <v>2</v>
      </c>
      <c r="N8" s="530">
        <v>2</v>
      </c>
      <c r="O8" s="530">
        <v>0</v>
      </c>
      <c r="P8" s="530">
        <v>0</v>
      </c>
      <c r="Q8" s="530">
        <v>0</v>
      </c>
      <c r="R8" s="530">
        <v>2</v>
      </c>
      <c r="S8" s="534">
        <v>36336</v>
      </c>
      <c r="T8" s="554" t="s">
        <v>651</v>
      </c>
      <c r="U8" s="534" t="s">
        <v>565</v>
      </c>
      <c r="V8" s="534" t="s">
        <v>511</v>
      </c>
      <c r="W8" s="534" t="s">
        <v>266</v>
      </c>
      <c r="X8" s="540" t="s">
        <v>385</v>
      </c>
      <c r="Y8" s="536">
        <v>1</v>
      </c>
      <c r="Z8" s="536">
        <v>1</v>
      </c>
      <c r="AA8" s="536">
        <v>0</v>
      </c>
      <c r="AB8" s="537">
        <v>0</v>
      </c>
      <c r="AC8" s="536">
        <v>1</v>
      </c>
      <c r="AD8" s="536">
        <v>1</v>
      </c>
      <c r="AE8" s="536">
        <v>0</v>
      </c>
      <c r="AF8" s="537">
        <v>0</v>
      </c>
      <c r="AG8" s="536">
        <v>0</v>
      </c>
      <c r="AH8" s="536">
        <v>0</v>
      </c>
      <c r="AI8" s="536">
        <v>0</v>
      </c>
      <c r="AJ8" s="537">
        <v>0</v>
      </c>
      <c r="AK8" s="536">
        <v>0</v>
      </c>
      <c r="AL8" s="536">
        <v>0</v>
      </c>
      <c r="AM8" s="536">
        <v>0</v>
      </c>
      <c r="AN8" s="537">
        <v>0</v>
      </c>
      <c r="AP8" s="388" t="s">
        <v>141</v>
      </c>
      <c r="AQ8" s="389">
        <f>Australiaalltestshistptsagainst</f>
        <v>12242</v>
      </c>
      <c r="AS8" s="388" t="s">
        <v>141</v>
      </c>
      <c r="AT8" s="389">
        <f>AustraliaWChistptsagainst</f>
        <v>754</v>
      </c>
    </row>
    <row r="9" spans="1:46" ht="14.95" customHeight="1" thickBot="1" x14ac:dyDescent="0.3">
      <c r="A9" s="545">
        <v>44807</v>
      </c>
      <c r="B9" s="578" t="s">
        <v>648</v>
      </c>
      <c r="C9" s="546" t="s">
        <v>177</v>
      </c>
      <c r="D9" s="578" t="s">
        <v>686</v>
      </c>
      <c r="E9" s="530" t="s">
        <v>3</v>
      </c>
      <c r="F9" s="530">
        <v>8</v>
      </c>
      <c r="G9" s="530">
        <v>24</v>
      </c>
      <c r="H9" s="530">
        <v>0</v>
      </c>
      <c r="I9" s="530">
        <v>0</v>
      </c>
      <c r="J9" s="530">
        <v>1</v>
      </c>
      <c r="K9" s="530">
        <v>0</v>
      </c>
      <c r="L9" s="530">
        <v>0</v>
      </c>
      <c r="M9" s="530">
        <v>1</v>
      </c>
      <c r="N9" s="530">
        <v>1</v>
      </c>
      <c r="O9" s="530">
        <v>0</v>
      </c>
      <c r="P9" s="530">
        <v>1</v>
      </c>
      <c r="Q9" s="530">
        <v>0</v>
      </c>
      <c r="R9" s="530">
        <v>4</v>
      </c>
      <c r="S9" s="534">
        <v>38292</v>
      </c>
      <c r="T9" s="538" t="s">
        <v>328</v>
      </c>
      <c r="U9" s="534" t="s">
        <v>266</v>
      </c>
      <c r="V9" s="534" t="s">
        <v>511</v>
      </c>
      <c r="W9" s="534" t="s">
        <v>565</v>
      </c>
      <c r="X9" s="540" t="s">
        <v>385</v>
      </c>
      <c r="Y9" s="536">
        <v>1</v>
      </c>
      <c r="Z9" s="537">
        <v>0</v>
      </c>
      <c r="AA9" s="537">
        <v>0</v>
      </c>
      <c r="AB9" s="537">
        <v>1</v>
      </c>
      <c r="AC9" s="537">
        <v>1</v>
      </c>
      <c r="AD9" s="537">
        <v>0</v>
      </c>
      <c r="AE9" s="537">
        <v>0</v>
      </c>
      <c r="AF9" s="537">
        <v>1</v>
      </c>
      <c r="AG9" s="537">
        <v>0</v>
      </c>
      <c r="AH9" s="537">
        <v>0</v>
      </c>
      <c r="AI9" s="537">
        <v>0</v>
      </c>
      <c r="AJ9" s="537">
        <v>0</v>
      </c>
      <c r="AK9" s="537">
        <v>0</v>
      </c>
      <c r="AL9" s="537">
        <v>0</v>
      </c>
      <c r="AM9" s="537">
        <v>0</v>
      </c>
      <c r="AN9" s="537">
        <v>0</v>
      </c>
      <c r="AP9" s="388" t="s">
        <v>131</v>
      </c>
      <c r="AQ9" s="389">
        <f>Australiaalltestshisttriesscored</f>
        <v>1773</v>
      </c>
      <c r="AS9" s="388" t="s">
        <v>131</v>
      </c>
      <c r="AT9" s="389">
        <f>AustraliaWChisttriesscored</f>
        <v>230</v>
      </c>
    </row>
    <row r="10" spans="1:46" ht="14.95" customHeight="1" thickBot="1" x14ac:dyDescent="0.3">
      <c r="A10" s="545">
        <v>44819</v>
      </c>
      <c r="B10" s="578" t="s">
        <v>648</v>
      </c>
      <c r="C10" s="546" t="s">
        <v>118</v>
      </c>
      <c r="D10" s="563" t="s">
        <v>649</v>
      </c>
      <c r="E10" s="547" t="s">
        <v>3</v>
      </c>
      <c r="F10" s="530">
        <v>37</v>
      </c>
      <c r="G10" s="530">
        <v>39</v>
      </c>
      <c r="H10" s="530">
        <v>1</v>
      </c>
      <c r="I10" s="530">
        <v>1</v>
      </c>
      <c r="J10" s="530">
        <v>4</v>
      </c>
      <c r="K10" s="530">
        <v>4</v>
      </c>
      <c r="L10" s="530">
        <v>0</v>
      </c>
      <c r="M10" s="530">
        <v>3</v>
      </c>
      <c r="N10" s="530">
        <v>3</v>
      </c>
      <c r="O10" s="530">
        <v>0</v>
      </c>
      <c r="P10" s="530">
        <v>1</v>
      </c>
      <c r="Q10" s="530">
        <v>0</v>
      </c>
      <c r="R10" s="530">
        <v>5</v>
      </c>
      <c r="S10" s="534">
        <v>53343</v>
      </c>
      <c r="T10" s="648" t="s">
        <v>690</v>
      </c>
      <c r="U10" s="534" t="s">
        <v>260</v>
      </c>
      <c r="V10" s="534" t="s">
        <v>267</v>
      </c>
      <c r="W10" s="534" t="s">
        <v>313</v>
      </c>
      <c r="X10" s="534" t="s">
        <v>314</v>
      </c>
      <c r="Y10" s="536">
        <v>1</v>
      </c>
      <c r="Z10" s="537">
        <v>0</v>
      </c>
      <c r="AA10" s="537">
        <v>0</v>
      </c>
      <c r="AB10" s="537">
        <v>1</v>
      </c>
      <c r="AC10" s="537">
        <v>1</v>
      </c>
      <c r="AD10" s="537">
        <v>0</v>
      </c>
      <c r="AE10" s="537">
        <v>0</v>
      </c>
      <c r="AF10" s="537">
        <v>1</v>
      </c>
      <c r="AG10" s="537">
        <v>0</v>
      </c>
      <c r="AH10" s="537">
        <v>0</v>
      </c>
      <c r="AI10" s="537">
        <v>0</v>
      </c>
      <c r="AJ10" s="537">
        <v>0</v>
      </c>
      <c r="AK10" s="537">
        <v>0</v>
      </c>
      <c r="AL10" s="537">
        <v>0</v>
      </c>
      <c r="AM10" s="537">
        <v>0</v>
      </c>
      <c r="AN10" s="537">
        <v>0</v>
      </c>
    </row>
    <row r="11" spans="1:46" ht="14.95" customHeight="1" thickBot="1" x14ac:dyDescent="0.3">
      <c r="A11" s="518">
        <v>44828</v>
      </c>
      <c r="B11" s="577" t="s">
        <v>648</v>
      </c>
      <c r="C11" s="517" t="s">
        <v>118</v>
      </c>
      <c r="D11" s="577" t="s">
        <v>129</v>
      </c>
      <c r="E11" s="519" t="s">
        <v>3</v>
      </c>
      <c r="F11" s="504">
        <v>14</v>
      </c>
      <c r="G11" s="504">
        <v>40</v>
      </c>
      <c r="H11" s="504">
        <v>0</v>
      </c>
      <c r="I11" s="504">
        <v>0</v>
      </c>
      <c r="J11" s="504">
        <v>2</v>
      </c>
      <c r="K11" s="504">
        <v>2</v>
      </c>
      <c r="L11" s="504">
        <v>0</v>
      </c>
      <c r="M11" s="504">
        <v>0</v>
      </c>
      <c r="N11" s="504">
        <v>2</v>
      </c>
      <c r="O11" s="504">
        <v>0</v>
      </c>
      <c r="P11" s="504">
        <v>1</v>
      </c>
      <c r="Q11" s="504">
        <v>0</v>
      </c>
      <c r="R11" s="504">
        <v>5</v>
      </c>
      <c r="S11" s="506">
        <v>47000</v>
      </c>
      <c r="T11" s="520" t="s">
        <v>705</v>
      </c>
      <c r="U11" s="506" t="s">
        <v>313</v>
      </c>
      <c r="V11" s="506" t="s">
        <v>267</v>
      </c>
      <c r="W11" s="526" t="s">
        <v>260</v>
      </c>
      <c r="X11" s="506" t="s">
        <v>314</v>
      </c>
      <c r="Y11" s="509">
        <v>1</v>
      </c>
      <c r="Z11" s="510">
        <v>0</v>
      </c>
      <c r="AA11" s="510">
        <v>0</v>
      </c>
      <c r="AB11" s="510">
        <v>1</v>
      </c>
      <c r="AC11" s="510">
        <v>0</v>
      </c>
      <c r="AD11" s="510">
        <v>0</v>
      </c>
      <c r="AE11" s="510">
        <v>0</v>
      </c>
      <c r="AF11" s="510">
        <v>0</v>
      </c>
      <c r="AG11" s="510">
        <v>1</v>
      </c>
      <c r="AH11" s="510">
        <v>0</v>
      </c>
      <c r="AI11" s="510">
        <v>0</v>
      </c>
      <c r="AJ11" s="510">
        <v>1</v>
      </c>
      <c r="AK11" s="510">
        <v>0</v>
      </c>
      <c r="AL11" s="510">
        <v>0</v>
      </c>
      <c r="AM11" s="510">
        <v>0</v>
      </c>
      <c r="AN11" s="510">
        <v>0</v>
      </c>
    </row>
    <row r="12" spans="1:46" ht="14.95" customHeight="1" thickBot="1" x14ac:dyDescent="0.35">
      <c r="A12" s="518">
        <v>44863</v>
      </c>
      <c r="B12" s="577" t="s">
        <v>748</v>
      </c>
      <c r="C12" s="517" t="s">
        <v>35</v>
      </c>
      <c r="D12" s="577" t="s">
        <v>117</v>
      </c>
      <c r="E12" s="519" t="s">
        <v>1</v>
      </c>
      <c r="F12" s="504">
        <v>16</v>
      </c>
      <c r="G12" s="504">
        <v>15</v>
      </c>
      <c r="H12" s="504" t="s">
        <v>106</v>
      </c>
      <c r="I12" s="504" t="s">
        <v>106</v>
      </c>
      <c r="J12" s="504">
        <v>1</v>
      </c>
      <c r="K12" s="504">
        <v>1</v>
      </c>
      <c r="L12" s="504">
        <v>0</v>
      </c>
      <c r="M12" s="504">
        <v>3</v>
      </c>
      <c r="N12" s="504">
        <v>1</v>
      </c>
      <c r="O12" s="504">
        <v>0</v>
      </c>
      <c r="P12" s="504" t="s">
        <v>106</v>
      </c>
      <c r="Q12" s="504" t="s">
        <v>106</v>
      </c>
      <c r="R12" s="519">
        <v>2</v>
      </c>
      <c r="S12" s="507">
        <v>65286</v>
      </c>
      <c r="T12" s="570" t="s">
        <v>765</v>
      </c>
      <c r="U12" s="508" t="s">
        <v>324</v>
      </c>
      <c r="V12" s="506" t="s">
        <v>259</v>
      </c>
      <c r="W12" s="506" t="s">
        <v>322</v>
      </c>
      <c r="X12" s="506" t="s">
        <v>340</v>
      </c>
      <c r="Y12" s="509">
        <v>1</v>
      </c>
      <c r="Z12" s="510">
        <v>1</v>
      </c>
      <c r="AA12" s="510">
        <v>0</v>
      </c>
      <c r="AB12" s="510">
        <v>0</v>
      </c>
      <c r="AC12" s="510">
        <v>0</v>
      </c>
      <c r="AD12" s="510">
        <v>0</v>
      </c>
      <c r="AE12" s="510">
        <v>0</v>
      </c>
      <c r="AF12" s="510">
        <v>0</v>
      </c>
      <c r="AG12" s="510">
        <v>1</v>
      </c>
      <c r="AH12" s="510">
        <v>1</v>
      </c>
      <c r="AI12" s="510">
        <v>0</v>
      </c>
      <c r="AJ12" s="510">
        <v>0</v>
      </c>
      <c r="AK12" s="510">
        <v>0</v>
      </c>
      <c r="AL12" s="510">
        <v>0</v>
      </c>
      <c r="AM12" s="510">
        <v>0</v>
      </c>
      <c r="AN12" s="510">
        <v>0</v>
      </c>
    </row>
    <row r="13" spans="1:46" ht="14.95" customHeight="1" thickBot="1" x14ac:dyDescent="0.3">
      <c r="A13" s="518">
        <v>44870</v>
      </c>
      <c r="B13" s="612" t="s">
        <v>21</v>
      </c>
      <c r="C13" s="517" t="s">
        <v>34</v>
      </c>
      <c r="D13" s="577" t="s">
        <v>113</v>
      </c>
      <c r="E13" s="504" t="s">
        <v>3</v>
      </c>
      <c r="F13" s="504">
        <v>29</v>
      </c>
      <c r="G13" s="504">
        <v>30</v>
      </c>
      <c r="H13" s="504" t="s">
        <v>106</v>
      </c>
      <c r="I13" s="504" t="s">
        <v>106</v>
      </c>
      <c r="J13" s="504">
        <v>2</v>
      </c>
      <c r="K13" s="504">
        <v>2</v>
      </c>
      <c r="L13" s="504">
        <v>0</v>
      </c>
      <c r="M13" s="504">
        <v>5</v>
      </c>
      <c r="N13" s="504">
        <v>0</v>
      </c>
      <c r="O13" s="504">
        <v>0</v>
      </c>
      <c r="P13" s="504" t="s">
        <v>106</v>
      </c>
      <c r="Q13" s="504" t="s">
        <v>106</v>
      </c>
      <c r="R13" s="504">
        <v>2</v>
      </c>
      <c r="S13" s="526">
        <v>79000</v>
      </c>
      <c r="T13" s="718" t="s">
        <v>579</v>
      </c>
      <c r="U13" s="526" t="s">
        <v>258</v>
      </c>
      <c r="V13" s="694" t="s">
        <v>323</v>
      </c>
      <c r="W13" s="694" t="s">
        <v>266</v>
      </c>
      <c r="X13" s="694" t="s">
        <v>269</v>
      </c>
      <c r="Y13" s="509">
        <v>1</v>
      </c>
      <c r="Z13" s="510">
        <v>0</v>
      </c>
      <c r="AA13" s="510">
        <v>0</v>
      </c>
      <c r="AB13" s="510">
        <v>1</v>
      </c>
      <c r="AC13" s="510">
        <v>0</v>
      </c>
      <c r="AD13" s="510">
        <v>0</v>
      </c>
      <c r="AE13" s="510">
        <v>0</v>
      </c>
      <c r="AF13" s="510">
        <v>0</v>
      </c>
      <c r="AG13" s="510">
        <v>1</v>
      </c>
      <c r="AH13" s="510">
        <v>0</v>
      </c>
      <c r="AI13" s="510">
        <v>0</v>
      </c>
      <c r="AJ13" s="510">
        <v>1</v>
      </c>
      <c r="AK13" s="510">
        <v>0</v>
      </c>
      <c r="AL13" s="510">
        <v>0</v>
      </c>
      <c r="AM13" s="510">
        <v>0</v>
      </c>
      <c r="AN13" s="510">
        <v>0</v>
      </c>
    </row>
    <row r="14" spans="1:46" ht="14.95" customHeight="1" thickBot="1" x14ac:dyDescent="0.3">
      <c r="A14" s="518">
        <v>44877</v>
      </c>
      <c r="B14" s="577" t="s">
        <v>721</v>
      </c>
      <c r="C14" s="517" t="s">
        <v>33</v>
      </c>
      <c r="D14" s="577" t="s">
        <v>730</v>
      </c>
      <c r="E14" s="504" t="s">
        <v>3</v>
      </c>
      <c r="F14" s="504">
        <v>27</v>
      </c>
      <c r="G14" s="504">
        <v>28</v>
      </c>
      <c r="H14" s="504" t="s">
        <v>106</v>
      </c>
      <c r="I14" s="504" t="s">
        <v>106</v>
      </c>
      <c r="J14" s="504">
        <v>4</v>
      </c>
      <c r="K14" s="504">
        <v>2</v>
      </c>
      <c r="L14" s="504">
        <v>0</v>
      </c>
      <c r="M14" s="504">
        <v>1</v>
      </c>
      <c r="N14" s="504">
        <v>1</v>
      </c>
      <c r="O14" s="504">
        <v>0</v>
      </c>
      <c r="P14" s="504" t="s">
        <v>106</v>
      </c>
      <c r="Q14" s="504" t="s">
        <v>106</v>
      </c>
      <c r="R14" s="504">
        <v>3</v>
      </c>
      <c r="S14" s="506">
        <v>20321</v>
      </c>
      <c r="T14" s="520" t="s">
        <v>625</v>
      </c>
      <c r="U14" s="506" t="s">
        <v>511</v>
      </c>
      <c r="V14" s="506" t="s">
        <v>368</v>
      </c>
      <c r="W14" s="506" t="s">
        <v>313</v>
      </c>
      <c r="X14" s="506" t="s">
        <v>246</v>
      </c>
      <c r="Y14" s="509">
        <v>1</v>
      </c>
      <c r="Z14" s="510">
        <v>0</v>
      </c>
      <c r="AA14" s="510">
        <v>0</v>
      </c>
      <c r="AB14" s="510">
        <v>1</v>
      </c>
      <c r="AC14" s="510">
        <v>0</v>
      </c>
      <c r="AD14" s="510">
        <v>0</v>
      </c>
      <c r="AE14" s="510">
        <v>0</v>
      </c>
      <c r="AF14" s="510">
        <v>0</v>
      </c>
      <c r="AG14" s="510">
        <v>1</v>
      </c>
      <c r="AH14" s="510">
        <v>0</v>
      </c>
      <c r="AI14" s="510">
        <v>0</v>
      </c>
      <c r="AJ14" s="510">
        <v>1</v>
      </c>
      <c r="AK14" s="510">
        <v>0</v>
      </c>
      <c r="AL14" s="510">
        <v>0</v>
      </c>
      <c r="AM14" s="510">
        <v>0</v>
      </c>
      <c r="AN14" s="510">
        <v>0</v>
      </c>
    </row>
    <row r="15" spans="1:46" ht="14.95" customHeight="1" thickBot="1" x14ac:dyDescent="0.3">
      <c r="A15" s="518">
        <v>44884</v>
      </c>
      <c r="B15" s="577" t="s">
        <v>746</v>
      </c>
      <c r="C15" s="517" t="s">
        <v>39</v>
      </c>
      <c r="D15" s="577" t="s">
        <v>115</v>
      </c>
      <c r="E15" s="504" t="s">
        <v>3</v>
      </c>
      <c r="F15" s="504">
        <v>10</v>
      </c>
      <c r="G15" s="504">
        <v>13</v>
      </c>
      <c r="H15" s="504" t="s">
        <v>106</v>
      </c>
      <c r="I15" s="504" t="s">
        <v>106</v>
      </c>
      <c r="J15" s="504">
        <v>1</v>
      </c>
      <c r="K15" s="504">
        <v>1</v>
      </c>
      <c r="L15" s="504">
        <v>0</v>
      </c>
      <c r="M15" s="504">
        <v>1</v>
      </c>
      <c r="N15" s="504">
        <v>1</v>
      </c>
      <c r="O15" s="504">
        <v>0</v>
      </c>
      <c r="P15" s="504" t="s">
        <v>106</v>
      </c>
      <c r="Q15" s="504" t="s">
        <v>106</v>
      </c>
      <c r="R15" s="504">
        <v>1</v>
      </c>
      <c r="S15" s="506">
        <v>51000</v>
      </c>
      <c r="T15" s="520" t="s">
        <v>832</v>
      </c>
      <c r="U15" s="506" t="s">
        <v>266</v>
      </c>
      <c r="V15" s="506" t="s">
        <v>259</v>
      </c>
      <c r="W15" s="506" t="s">
        <v>510</v>
      </c>
      <c r="X15" s="508" t="s">
        <v>385</v>
      </c>
      <c r="Y15" s="509">
        <v>1</v>
      </c>
      <c r="Z15" s="510">
        <v>0</v>
      </c>
      <c r="AA15" s="510">
        <v>0</v>
      </c>
      <c r="AB15" s="510">
        <v>1</v>
      </c>
      <c r="AC15" s="510">
        <v>0</v>
      </c>
      <c r="AD15" s="510">
        <v>0</v>
      </c>
      <c r="AE15" s="510">
        <v>0</v>
      </c>
      <c r="AF15" s="510">
        <v>0</v>
      </c>
      <c r="AG15" s="510">
        <v>1</v>
      </c>
      <c r="AH15" s="510">
        <v>0</v>
      </c>
      <c r="AI15" s="510">
        <v>0</v>
      </c>
      <c r="AJ15" s="510">
        <v>1</v>
      </c>
      <c r="AK15" s="510">
        <v>0</v>
      </c>
      <c r="AL15" s="510">
        <v>0</v>
      </c>
      <c r="AM15" s="510">
        <v>0</v>
      </c>
      <c r="AN15" s="510">
        <v>0</v>
      </c>
    </row>
    <row r="16" spans="1:46" ht="14.95" customHeight="1" thickBot="1" x14ac:dyDescent="0.3">
      <c r="A16" s="518">
        <v>44891</v>
      </c>
      <c r="B16" s="577" t="s">
        <v>754</v>
      </c>
      <c r="C16" s="517" t="s">
        <v>32</v>
      </c>
      <c r="D16" s="577" t="s">
        <v>112</v>
      </c>
      <c r="E16" s="504" t="s">
        <v>1</v>
      </c>
      <c r="F16" s="504">
        <v>39</v>
      </c>
      <c r="G16" s="504">
        <v>34</v>
      </c>
      <c r="H16" s="504" t="s">
        <v>106</v>
      </c>
      <c r="I16" s="504" t="s">
        <v>106</v>
      </c>
      <c r="J16" s="504">
        <v>5</v>
      </c>
      <c r="K16" s="504">
        <v>3</v>
      </c>
      <c r="L16" s="504">
        <v>0</v>
      </c>
      <c r="M16" s="504">
        <v>2</v>
      </c>
      <c r="N16" s="504">
        <v>2</v>
      </c>
      <c r="O16" s="504">
        <v>0</v>
      </c>
      <c r="P16" s="504" t="s">
        <v>106</v>
      </c>
      <c r="Q16" s="504" t="s">
        <v>106</v>
      </c>
      <c r="R16" s="504">
        <v>4</v>
      </c>
      <c r="S16" s="506">
        <v>67401</v>
      </c>
      <c r="T16" s="610" t="s">
        <v>873</v>
      </c>
      <c r="U16" s="506" t="s">
        <v>339</v>
      </c>
      <c r="V16" s="506" t="s">
        <v>324</v>
      </c>
      <c r="W16" s="506" t="s">
        <v>305</v>
      </c>
      <c r="X16" s="506" t="s">
        <v>518</v>
      </c>
      <c r="Y16" s="509">
        <v>1</v>
      </c>
      <c r="Z16" s="510">
        <v>1</v>
      </c>
      <c r="AA16" s="510">
        <v>0</v>
      </c>
      <c r="AB16" s="510">
        <v>0</v>
      </c>
      <c r="AC16" s="510">
        <v>0</v>
      </c>
      <c r="AD16" s="510">
        <v>0</v>
      </c>
      <c r="AE16" s="510">
        <v>0</v>
      </c>
      <c r="AF16" s="510">
        <v>0</v>
      </c>
      <c r="AG16" s="510">
        <v>1</v>
      </c>
      <c r="AH16" s="510">
        <v>1</v>
      </c>
      <c r="AI16" s="510">
        <v>0</v>
      </c>
      <c r="AJ16" s="510">
        <v>0</v>
      </c>
      <c r="AK16" s="510">
        <v>0</v>
      </c>
      <c r="AL16" s="510">
        <v>0</v>
      </c>
      <c r="AM16" s="510">
        <v>0</v>
      </c>
      <c r="AN16" s="510">
        <v>0</v>
      </c>
    </row>
    <row r="17" spans="1:40" ht="14.95" thickBot="1" x14ac:dyDescent="0.3">
      <c r="A17" s="310"/>
      <c r="B17" s="311"/>
      <c r="C17" s="777" t="s">
        <v>187</v>
      </c>
      <c r="D17" s="778"/>
      <c r="E17" s="779"/>
      <c r="F17" s="324">
        <f>SUM(F6:F11)</f>
        <v>142</v>
      </c>
      <c r="G17" s="324">
        <f t="shared" ref="G17:R17" si="0">SUM(G6:G11)</f>
        <v>194</v>
      </c>
      <c r="H17" s="324">
        <f>SUM(H6:H12)</f>
        <v>2</v>
      </c>
      <c r="I17" s="324">
        <f>SUM(I6:I12)</f>
        <v>1</v>
      </c>
      <c r="J17" s="324">
        <f t="shared" si="0"/>
        <v>17</v>
      </c>
      <c r="K17" s="324">
        <f t="shared" si="0"/>
        <v>14</v>
      </c>
      <c r="L17" s="324">
        <f t="shared" si="0"/>
        <v>0</v>
      </c>
      <c r="M17" s="324">
        <f t="shared" si="0"/>
        <v>9</v>
      </c>
      <c r="N17" s="324">
        <f t="shared" si="0"/>
        <v>9</v>
      </c>
      <c r="O17" s="324">
        <f t="shared" si="0"/>
        <v>0</v>
      </c>
      <c r="P17" s="324">
        <f t="shared" si="0"/>
        <v>4</v>
      </c>
      <c r="Q17" s="324">
        <f t="shared" si="0"/>
        <v>0</v>
      </c>
      <c r="R17" s="324">
        <f t="shared" si="0"/>
        <v>25</v>
      </c>
      <c r="S17" s="320"/>
      <c r="T17" s="320"/>
      <c r="U17" s="320"/>
      <c r="V17" s="320"/>
      <c r="W17" s="321"/>
      <c r="X17" s="446" t="s">
        <v>187</v>
      </c>
      <c r="Y17" s="448">
        <f t="shared" ref="Y17:AN17" si="1">SUM(Y6:Y11)</f>
        <v>6</v>
      </c>
      <c r="Z17" s="324">
        <f t="shared" si="1"/>
        <v>2</v>
      </c>
      <c r="AA17" s="324">
        <f t="shared" si="1"/>
        <v>0</v>
      </c>
      <c r="AB17" s="324">
        <f t="shared" si="1"/>
        <v>4</v>
      </c>
      <c r="AC17" s="322">
        <f t="shared" si="1"/>
        <v>3</v>
      </c>
      <c r="AD17" s="322">
        <f t="shared" si="1"/>
        <v>1</v>
      </c>
      <c r="AE17" s="322">
        <f t="shared" si="1"/>
        <v>0</v>
      </c>
      <c r="AF17" s="322">
        <f t="shared" si="1"/>
        <v>2</v>
      </c>
      <c r="AG17" s="323">
        <f t="shared" si="1"/>
        <v>3</v>
      </c>
      <c r="AH17" s="323">
        <f t="shared" si="1"/>
        <v>1</v>
      </c>
      <c r="AI17" s="323">
        <f t="shared" si="1"/>
        <v>0</v>
      </c>
      <c r="AJ17" s="323">
        <f t="shared" si="1"/>
        <v>2</v>
      </c>
      <c r="AK17" s="324">
        <f t="shared" si="1"/>
        <v>0</v>
      </c>
      <c r="AL17" s="324">
        <f t="shared" si="1"/>
        <v>0</v>
      </c>
      <c r="AM17" s="324">
        <f t="shared" si="1"/>
        <v>0</v>
      </c>
      <c r="AN17" s="324">
        <f t="shared" si="1"/>
        <v>0</v>
      </c>
    </row>
    <row r="18" spans="1:40" ht="14.95" thickBot="1" x14ac:dyDescent="0.3">
      <c r="A18" s="310"/>
      <c r="B18" s="311"/>
      <c r="C18" s="771" t="s">
        <v>173</v>
      </c>
      <c r="D18" s="772"/>
      <c r="E18" s="773"/>
      <c r="F18" s="598">
        <f>SUM(F3+F4+F5+F12+F13+F14+F15+F16)</f>
        <v>185</v>
      </c>
      <c r="G18" s="598">
        <f>SUM(G3+G4+G5+G12+G13+G14+G15+G16)</f>
        <v>194</v>
      </c>
      <c r="H18" s="598" t="s">
        <v>106</v>
      </c>
      <c r="I18" s="598" t="s">
        <v>106</v>
      </c>
      <c r="J18" s="598">
        <f t="shared" ref="J18:O18" si="2">SUM(J3+J4+J5+J12+J13+J14+J15+J16)</f>
        <v>20</v>
      </c>
      <c r="K18" s="598">
        <f t="shared" si="2"/>
        <v>16</v>
      </c>
      <c r="L18" s="598">
        <f t="shared" si="2"/>
        <v>0</v>
      </c>
      <c r="M18" s="598">
        <f t="shared" si="2"/>
        <v>17</v>
      </c>
      <c r="N18" s="598">
        <f t="shared" si="2"/>
        <v>7</v>
      </c>
      <c r="O18" s="598">
        <f t="shared" si="2"/>
        <v>1</v>
      </c>
      <c r="P18" s="598" t="s">
        <v>106</v>
      </c>
      <c r="Q18" s="598" t="s">
        <v>106</v>
      </c>
      <c r="R18" s="598">
        <f>SUM(R3+R4+R5+R12+R13+R14+R15+R16)</f>
        <v>18</v>
      </c>
      <c r="S18" s="599"/>
      <c r="T18" s="599"/>
      <c r="U18" s="599"/>
      <c r="V18" s="599"/>
      <c r="W18" s="600"/>
      <c r="X18" s="601" t="s">
        <v>173</v>
      </c>
      <c r="Y18" s="615">
        <f t="shared" ref="Y18:AN18" si="3">SUM(Y3+Y4+Y5+Y12+Y13+Y14+Y15+Y16)</f>
        <v>8</v>
      </c>
      <c r="Z18" s="598">
        <f t="shared" si="3"/>
        <v>3</v>
      </c>
      <c r="AA18" s="598">
        <f t="shared" si="3"/>
        <v>0</v>
      </c>
      <c r="AB18" s="598">
        <f t="shared" si="3"/>
        <v>5</v>
      </c>
      <c r="AC18" s="616">
        <f t="shared" si="3"/>
        <v>3</v>
      </c>
      <c r="AD18" s="616">
        <f t="shared" si="3"/>
        <v>1</v>
      </c>
      <c r="AE18" s="616">
        <f t="shared" si="3"/>
        <v>0</v>
      </c>
      <c r="AF18" s="616">
        <f t="shared" si="3"/>
        <v>2</v>
      </c>
      <c r="AG18" s="617">
        <f t="shared" si="3"/>
        <v>5</v>
      </c>
      <c r="AH18" s="617">
        <f t="shared" si="3"/>
        <v>2</v>
      </c>
      <c r="AI18" s="617">
        <f t="shared" si="3"/>
        <v>0</v>
      </c>
      <c r="AJ18" s="617">
        <f t="shared" si="3"/>
        <v>3</v>
      </c>
      <c r="AK18" s="598">
        <f t="shared" si="3"/>
        <v>0</v>
      </c>
      <c r="AL18" s="598">
        <f t="shared" si="3"/>
        <v>0</v>
      </c>
      <c r="AM18" s="598">
        <f t="shared" si="3"/>
        <v>0</v>
      </c>
      <c r="AN18" s="598">
        <f t="shared" si="3"/>
        <v>0</v>
      </c>
    </row>
    <row r="19" spans="1:40" ht="14.95" thickBot="1" x14ac:dyDescent="0.3">
      <c r="A19" s="310"/>
      <c r="B19" s="311"/>
      <c r="C19" s="760" t="s">
        <v>107</v>
      </c>
      <c r="D19" s="761"/>
      <c r="E19" s="762"/>
      <c r="F19" s="422">
        <f t="shared" ref="F19:R19" si="4">SUM(F3:F16)</f>
        <v>327</v>
      </c>
      <c r="G19" s="422">
        <f t="shared" si="4"/>
        <v>388</v>
      </c>
      <c r="H19" s="422">
        <f t="shared" si="4"/>
        <v>2</v>
      </c>
      <c r="I19" s="422">
        <f t="shared" si="4"/>
        <v>1</v>
      </c>
      <c r="J19" s="422">
        <f t="shared" si="4"/>
        <v>37</v>
      </c>
      <c r="K19" s="422">
        <f t="shared" si="4"/>
        <v>30</v>
      </c>
      <c r="L19" s="422">
        <f t="shared" si="4"/>
        <v>0</v>
      </c>
      <c r="M19" s="422">
        <f t="shared" si="4"/>
        <v>26</v>
      </c>
      <c r="N19" s="422">
        <f t="shared" si="4"/>
        <v>16</v>
      </c>
      <c r="O19" s="422">
        <f t="shared" si="4"/>
        <v>1</v>
      </c>
      <c r="P19" s="422">
        <f t="shared" si="4"/>
        <v>4</v>
      </c>
      <c r="Q19" s="422">
        <f t="shared" si="4"/>
        <v>0</v>
      </c>
      <c r="R19" s="422">
        <f t="shared" si="4"/>
        <v>43</v>
      </c>
      <c r="S19" s="419"/>
      <c r="T19" s="419"/>
      <c r="U19" s="419"/>
      <c r="V19" s="419"/>
      <c r="W19" s="13"/>
      <c r="X19" s="447" t="s">
        <v>107</v>
      </c>
      <c r="Y19" s="449">
        <f t="shared" ref="Y19:AN19" si="5">SUM(Y3:Y16)</f>
        <v>14</v>
      </c>
      <c r="Z19" s="422">
        <f t="shared" si="5"/>
        <v>5</v>
      </c>
      <c r="AA19" s="422">
        <f t="shared" si="5"/>
        <v>0</v>
      </c>
      <c r="AB19" s="422">
        <f t="shared" si="5"/>
        <v>9</v>
      </c>
      <c r="AC19" s="420">
        <f t="shared" si="5"/>
        <v>6</v>
      </c>
      <c r="AD19" s="420">
        <f t="shared" si="5"/>
        <v>2</v>
      </c>
      <c r="AE19" s="420">
        <f t="shared" si="5"/>
        <v>0</v>
      </c>
      <c r="AF19" s="420">
        <f t="shared" si="5"/>
        <v>4</v>
      </c>
      <c r="AG19" s="421">
        <f t="shared" si="5"/>
        <v>8</v>
      </c>
      <c r="AH19" s="421">
        <f t="shared" si="5"/>
        <v>3</v>
      </c>
      <c r="AI19" s="421">
        <f t="shared" si="5"/>
        <v>0</v>
      </c>
      <c r="AJ19" s="421">
        <f t="shared" si="5"/>
        <v>5</v>
      </c>
      <c r="AK19" s="422">
        <f t="shared" si="5"/>
        <v>0</v>
      </c>
      <c r="AL19" s="422">
        <f t="shared" si="5"/>
        <v>0</v>
      </c>
      <c r="AM19" s="422">
        <f t="shared" si="5"/>
        <v>0</v>
      </c>
      <c r="AN19" s="422">
        <f t="shared" si="5"/>
        <v>0</v>
      </c>
    </row>
    <row r="20" spans="1:40" x14ac:dyDescent="0.25">
      <c r="A20" t="s">
        <v>513</v>
      </c>
    </row>
    <row r="21" spans="1:40" x14ac:dyDescent="0.25">
      <c r="A21" t="s">
        <v>657</v>
      </c>
    </row>
    <row r="22" spans="1:40" x14ac:dyDescent="0.25">
      <c r="A22" t="s">
        <v>671</v>
      </c>
    </row>
    <row r="23" spans="1:40" x14ac:dyDescent="0.25">
      <c r="A23" t="s">
        <v>687</v>
      </c>
    </row>
    <row r="24" spans="1:40" x14ac:dyDescent="0.25">
      <c r="A24" t="s">
        <v>706</v>
      </c>
    </row>
    <row r="25" spans="1:40" x14ac:dyDescent="0.25">
      <c r="A25" t="s">
        <v>732</v>
      </c>
    </row>
    <row r="26" spans="1:40" x14ac:dyDescent="0.25">
      <c r="A26" t="s">
        <v>749</v>
      </c>
    </row>
    <row r="27" spans="1:40" x14ac:dyDescent="0.25">
      <c r="A27" t="s">
        <v>752</v>
      </c>
    </row>
    <row r="28" spans="1:40" x14ac:dyDescent="0.25">
      <c r="A28" t="s">
        <v>756</v>
      </c>
    </row>
    <row r="29" spans="1:40" x14ac:dyDescent="0.25">
      <c r="A29" s="155"/>
      <c r="B29" t="s">
        <v>44</v>
      </c>
    </row>
    <row r="30" spans="1:40" x14ac:dyDescent="0.25">
      <c r="A30" s="153"/>
      <c r="B30" t="s">
        <v>42</v>
      </c>
    </row>
    <row r="31" spans="1:40" x14ac:dyDescent="0.25">
      <c r="A31" s="154"/>
      <c r="B31" t="s">
        <v>43</v>
      </c>
    </row>
    <row r="32" spans="1:40" x14ac:dyDescent="0.25">
      <c r="A32" s="15" t="s">
        <v>28</v>
      </c>
    </row>
  </sheetData>
  <mergeCells count="13">
    <mergeCell ref="AK1:AN1"/>
    <mergeCell ref="C17:E17"/>
    <mergeCell ref="J1:M1"/>
    <mergeCell ref="N1:O1"/>
    <mergeCell ref="P1:R1"/>
    <mergeCell ref="A1:C1"/>
    <mergeCell ref="E1:G1"/>
    <mergeCell ref="H1:I1"/>
    <mergeCell ref="C19:E19"/>
    <mergeCell ref="Y1:AB1"/>
    <mergeCell ref="AC1:AF1"/>
    <mergeCell ref="AG1:AJ1"/>
    <mergeCell ref="C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535</vt:i4>
      </vt:variant>
    </vt:vector>
  </HeadingPairs>
  <TitlesOfParts>
    <vt:vector size="563" baseType="lpstr">
      <vt:lpstr>Sum</vt:lpstr>
      <vt:lpstr>Res</vt:lpstr>
      <vt:lpstr>6N Tab</vt:lpstr>
      <vt:lpstr>6N Res</vt:lpstr>
      <vt:lpstr>6N Cds</vt:lpstr>
      <vt:lpstr>RC Cds</vt:lpstr>
      <vt:lpstr>ANS Cds</vt:lpstr>
      <vt:lpstr>ARG</vt:lpstr>
      <vt:lpstr>AUS</vt:lpstr>
      <vt:lpstr>CAN</vt:lpstr>
      <vt:lpstr>ENG</vt:lpstr>
      <vt:lpstr>FIJ</vt:lpstr>
      <vt:lpstr>FRA</vt:lpstr>
      <vt:lpstr>GEO</vt:lpstr>
      <vt:lpstr>IRE</vt:lpstr>
      <vt:lpstr>ITA</vt:lpstr>
      <vt:lpstr>JPN</vt:lpstr>
      <vt:lpstr>NAM</vt:lpstr>
      <vt:lpstr>NZL</vt:lpstr>
      <vt:lpstr>ROM</vt:lpstr>
      <vt:lpstr>RUS</vt:lpstr>
      <vt:lpstr>SAM</vt:lpstr>
      <vt:lpstr>SCO</vt:lpstr>
      <vt:lpstr>RSA</vt:lpstr>
      <vt:lpstr>TGA</vt:lpstr>
      <vt:lpstr>USA</vt:lpstr>
      <vt:lpstr>URU</vt:lpstr>
      <vt:lpstr>WAL</vt:lpstr>
      <vt:lpstr>alltestshistlost</vt:lpstr>
      <vt:lpstr>alltestshistwon</vt:lpstr>
      <vt:lpstr>arg2019dg</vt:lpstr>
      <vt:lpstr>arg2019drawn</vt:lpstr>
      <vt:lpstr>arg2019lost</vt:lpstr>
      <vt:lpstr>arg2019played</vt:lpstr>
      <vt:lpstr>arg2019ptsconc</vt:lpstr>
      <vt:lpstr>arg2019ptsscored</vt:lpstr>
      <vt:lpstr>arg2019triesconc</vt:lpstr>
      <vt:lpstr>arg2019triesscored</vt:lpstr>
      <vt:lpstr>arg2019won</vt:lpstr>
      <vt:lpstr>Argentinaalltestsdrawn</vt:lpstr>
      <vt:lpstr>Argentinaalltestslost</vt:lpstr>
      <vt:lpstr>Argentinaalltestsplayed</vt:lpstr>
      <vt:lpstr>Argentinaalltestsptsagainst</vt:lpstr>
      <vt:lpstr>Argentinaalltestsptsscored</vt:lpstr>
      <vt:lpstr>Argentinaallteststriesscored</vt:lpstr>
      <vt:lpstr>Argentinaalltestswon</vt:lpstr>
      <vt:lpstr>ArgentinaWChistdrawn</vt:lpstr>
      <vt:lpstr>ArgentinaWChistlost</vt:lpstr>
      <vt:lpstr>ArgentinaWChistplayed</vt:lpstr>
      <vt:lpstr>ArgentinaWChistptsagainst</vt:lpstr>
      <vt:lpstr>ArgentinaWChistptsscored</vt:lpstr>
      <vt:lpstr>ArgentinaWChisttriesscored</vt:lpstr>
      <vt:lpstr>ArgentinaWChistwon</vt:lpstr>
      <vt:lpstr>australiaalltests2019drawn</vt:lpstr>
      <vt:lpstr>australiaalltests2019lost</vt:lpstr>
      <vt:lpstr>australiaalltests2019played</vt:lpstr>
      <vt:lpstr>australiaalltests2019playedcorrect</vt:lpstr>
      <vt:lpstr>australiaalltests2019ptsagainst</vt:lpstr>
      <vt:lpstr>australiaalltests2019ptsscored</vt:lpstr>
      <vt:lpstr>australiaalltests2019triesconc</vt:lpstr>
      <vt:lpstr>australiaalltests2019triesscored</vt:lpstr>
      <vt:lpstr>australiaalltests2019won</vt:lpstr>
      <vt:lpstr>Australiaalltestshistdrawn</vt:lpstr>
      <vt:lpstr>Australiaalltestshistlost</vt:lpstr>
      <vt:lpstr>Australiaalltestshistplayed</vt:lpstr>
      <vt:lpstr>Australiaalltestshistptsagainst</vt:lpstr>
      <vt:lpstr>Australiaalltestshistptsscored</vt:lpstr>
      <vt:lpstr>Australiaalltestshisttriesscored</vt:lpstr>
      <vt:lpstr>Australiaalltestshistwon</vt:lpstr>
      <vt:lpstr>AustraliaWChistdrawn</vt:lpstr>
      <vt:lpstr>AustraliaWChistlost</vt:lpstr>
      <vt:lpstr>AustraliaWChistplayed</vt:lpstr>
      <vt:lpstr>AustraliaWChistptsagainst</vt:lpstr>
      <vt:lpstr>AustraliaWChistptsscored</vt:lpstr>
      <vt:lpstr>AustraliaWChisttriesscored</vt:lpstr>
      <vt:lpstr>AustraliaWChistwon</vt:lpstr>
      <vt:lpstr>can2019alltestsdrawn</vt:lpstr>
      <vt:lpstr>can2019alltestslost</vt:lpstr>
      <vt:lpstr>can2019alltestsplayed</vt:lpstr>
      <vt:lpstr>can2019alltestsptsagainst</vt:lpstr>
      <vt:lpstr>can2019alltestsptsscored</vt:lpstr>
      <vt:lpstr>can2019allteststriescon</vt:lpstr>
      <vt:lpstr>can2019allteststriesscored</vt:lpstr>
      <vt:lpstr>can2019alltestswon</vt:lpstr>
      <vt:lpstr>Canadaalltestshistdrawn</vt:lpstr>
      <vt:lpstr>Canadaalltestshistlost</vt:lpstr>
      <vt:lpstr>Canadaalltestshistplayed</vt:lpstr>
      <vt:lpstr>Canadaalltestshistptsagainst</vt:lpstr>
      <vt:lpstr>Canadaalltestshistptsscored</vt:lpstr>
      <vt:lpstr>Canadaalltestshisttriesscored</vt:lpstr>
      <vt:lpstr>Canadaalltestshistwon</vt:lpstr>
      <vt:lpstr>CanadaRWChistdrawn</vt:lpstr>
      <vt:lpstr>CanadaRWChistlost</vt:lpstr>
      <vt:lpstr>CanadaRWChistplayed</vt:lpstr>
      <vt:lpstr>CanadaRWChistptsagainst</vt:lpstr>
      <vt:lpstr>CanadaRWChistptsscored</vt:lpstr>
      <vt:lpstr>CanadaRWChisttriesscored</vt:lpstr>
      <vt:lpstr>CanadaRWChistwon</vt:lpstr>
      <vt:lpstr>drawn</vt:lpstr>
      <vt:lpstr>Eng2019alltestsdrawn</vt:lpstr>
      <vt:lpstr>Eng2019alltestslost</vt:lpstr>
      <vt:lpstr>Eng2019alltestsplayed</vt:lpstr>
      <vt:lpstr>Eng2019alltestsptsagainst</vt:lpstr>
      <vt:lpstr>Eng2019alltestsptsscored</vt:lpstr>
      <vt:lpstr>Eng2019allteststriescon</vt:lpstr>
      <vt:lpstr>Eng2019allteststriesscored</vt:lpstr>
      <vt:lpstr>Eng2019alltestswon</vt:lpstr>
      <vt:lpstr>Englandalltestshistdrawn</vt:lpstr>
      <vt:lpstr>Englandalltestshistlost</vt:lpstr>
      <vt:lpstr>Englandalltestshistplayed</vt:lpstr>
      <vt:lpstr>Englandalltestshistptsagainst</vt:lpstr>
      <vt:lpstr>Englandalltestshistptsscored</vt:lpstr>
      <vt:lpstr>Englandalltestshisttriesscored</vt:lpstr>
      <vt:lpstr>Englandalltestshistwon</vt:lpstr>
      <vt:lpstr>Englanddrawn</vt:lpstr>
      <vt:lpstr>Englandlosingbonus</vt:lpstr>
      <vt:lpstr>Englandlost</vt:lpstr>
      <vt:lpstr>Englandplayed</vt:lpstr>
      <vt:lpstr>Englandptsagainst</vt:lpstr>
      <vt:lpstr>Englandptsscored</vt:lpstr>
      <vt:lpstr>Englandred</vt:lpstr>
      <vt:lpstr>EnglandRWChistdrawn</vt:lpstr>
      <vt:lpstr>EnglandRWChistlost</vt:lpstr>
      <vt:lpstr>EnglandRWChistplayed</vt:lpstr>
      <vt:lpstr>EnglandRWChistptsagainst</vt:lpstr>
      <vt:lpstr>EnglandRWChistptsscored</vt:lpstr>
      <vt:lpstr>EnglandRWChisttriesscored</vt:lpstr>
      <vt:lpstr>EnglandRWChistwon</vt:lpstr>
      <vt:lpstr>Englandtriesagainst</vt:lpstr>
      <vt:lpstr>Englandtriesscored</vt:lpstr>
      <vt:lpstr>Englandtrybonus</vt:lpstr>
      <vt:lpstr>Englandwon</vt:lpstr>
      <vt:lpstr>Englandyellow</vt:lpstr>
      <vt:lpstr>Fij2019alltestsdrawn</vt:lpstr>
      <vt:lpstr>Fij2019alltestslost</vt:lpstr>
      <vt:lpstr>Fij2019alltestsplayed</vt:lpstr>
      <vt:lpstr>Fij2019alltestsptsagainst</vt:lpstr>
      <vt:lpstr>Fij2019alltestsptsscored</vt:lpstr>
      <vt:lpstr>Fij2019allteststriescon</vt:lpstr>
      <vt:lpstr>Fij2019allteststriesscored</vt:lpstr>
      <vt:lpstr>Fij2019alltestswon</vt:lpstr>
      <vt:lpstr>Fijialltestshistdrawn</vt:lpstr>
      <vt:lpstr>Fijialltestshistlost</vt:lpstr>
      <vt:lpstr>Fijialltestshistplayed</vt:lpstr>
      <vt:lpstr>Fijialltestshistptsagainst</vt:lpstr>
      <vt:lpstr>Fijialltestshistptsscored</vt:lpstr>
      <vt:lpstr>Fijialltestshisttriesscored</vt:lpstr>
      <vt:lpstr>Fijialltestshistwon</vt:lpstr>
      <vt:lpstr>FijiRWChistdrawn</vt:lpstr>
      <vt:lpstr>FijiRWChistlost</vt:lpstr>
      <vt:lpstr>FijiRWChistplayed</vt:lpstr>
      <vt:lpstr>FijiRWChistptsagainst</vt:lpstr>
      <vt:lpstr>FijiRWChistptsscored</vt:lpstr>
      <vt:lpstr>FijiRWChisttriesscored</vt:lpstr>
      <vt:lpstr>FijiRWChistwon</vt:lpstr>
      <vt:lpstr>Fra2019alltestsdrawn</vt:lpstr>
      <vt:lpstr>Fra2019alltestslost</vt:lpstr>
      <vt:lpstr>Fra2019alltestsplayed</vt:lpstr>
      <vt:lpstr>Fra2019alltestsptsagainst</vt:lpstr>
      <vt:lpstr>Fra2019alltestsptsscored</vt:lpstr>
      <vt:lpstr>Fra2019allteststriescon</vt:lpstr>
      <vt:lpstr>Fra2019allteststriesscored</vt:lpstr>
      <vt:lpstr>Fra2019alltestswon</vt:lpstr>
      <vt:lpstr>Francealltestshistdrawn</vt:lpstr>
      <vt:lpstr>Francealltestshistlost</vt:lpstr>
      <vt:lpstr>Francealltestshistplayed</vt:lpstr>
      <vt:lpstr>Francealltestshistptscon</vt:lpstr>
      <vt:lpstr>Francealltestshistptsscored</vt:lpstr>
      <vt:lpstr>Francealltestshisttriesscored</vt:lpstr>
      <vt:lpstr>Francealltestshistwon</vt:lpstr>
      <vt:lpstr>Francedrawn</vt:lpstr>
      <vt:lpstr>Francelosingbonus</vt:lpstr>
      <vt:lpstr>Francelost</vt:lpstr>
      <vt:lpstr>Franceplayed</vt:lpstr>
      <vt:lpstr>Franceptsagainst</vt:lpstr>
      <vt:lpstr>Franceptsscored</vt:lpstr>
      <vt:lpstr>Francered</vt:lpstr>
      <vt:lpstr>FranceRWChistdrawn</vt:lpstr>
      <vt:lpstr>FranceRWChistlost</vt:lpstr>
      <vt:lpstr>FranceRWChistplayed</vt:lpstr>
      <vt:lpstr>FranceRWChistptsagainst</vt:lpstr>
      <vt:lpstr>FranceRWChistptsscored</vt:lpstr>
      <vt:lpstr>FranceRWChisttriesscored</vt:lpstr>
      <vt:lpstr>FranceRWChistwon</vt:lpstr>
      <vt:lpstr>Francetriesagainst</vt:lpstr>
      <vt:lpstr>Francetriesscored</vt:lpstr>
      <vt:lpstr>Francetrybonus</vt:lpstr>
      <vt:lpstr>Francewon</vt:lpstr>
      <vt:lpstr>FRanceyellow</vt:lpstr>
      <vt:lpstr>Geo2019alltestsdrawn</vt:lpstr>
      <vt:lpstr>Geo2019alltestslost</vt:lpstr>
      <vt:lpstr>Geo2019alltestsplayed</vt:lpstr>
      <vt:lpstr>Geo2019alltestsptsagainst</vt:lpstr>
      <vt:lpstr>Geo2019alltestsptsscored</vt:lpstr>
      <vt:lpstr>Geo2019allteststriesconceded</vt:lpstr>
      <vt:lpstr>Geo2019allteststriesscored</vt:lpstr>
      <vt:lpstr>Geo2019alltestswon</vt:lpstr>
      <vt:lpstr>Georgiaalltestshistdrawn</vt:lpstr>
      <vt:lpstr>Georgiaalltestshistlost</vt:lpstr>
      <vt:lpstr>Georgiaalltestshistplayed</vt:lpstr>
      <vt:lpstr>Georgiaalltestshistptsagainst</vt:lpstr>
      <vt:lpstr>Georgiaalltestshistptsscored</vt:lpstr>
      <vt:lpstr>Georgiaalltestshisttriesscored</vt:lpstr>
      <vt:lpstr>Georgiaalltestshistwon</vt:lpstr>
      <vt:lpstr>GeorgiaRWChistdrawn</vt:lpstr>
      <vt:lpstr>GeorgiaRWChistlost</vt:lpstr>
      <vt:lpstr>GeorgiaRWChistplayed</vt:lpstr>
      <vt:lpstr>GeorgiaRWChistptsagainst</vt:lpstr>
      <vt:lpstr>GeorgiaRWChistptsscored</vt:lpstr>
      <vt:lpstr>GeorgiaRWChisttriesscored</vt:lpstr>
      <vt:lpstr>GeorgiaRWChistwon</vt:lpstr>
      <vt:lpstr>Ire2019alltestsdrawn</vt:lpstr>
      <vt:lpstr>Ire2019alltestslost</vt:lpstr>
      <vt:lpstr>Ire2019alltestsplayed</vt:lpstr>
      <vt:lpstr>Ire2019alltestsptscon</vt:lpstr>
      <vt:lpstr>Ire2019alltestsptsscored</vt:lpstr>
      <vt:lpstr>Ire2019allteststriescon</vt:lpstr>
      <vt:lpstr>Ire2019allteststriesscored</vt:lpstr>
      <vt:lpstr>Ire2019alltestswon</vt:lpstr>
      <vt:lpstr>Irelandalltestshistdrawn</vt:lpstr>
      <vt:lpstr>Irelandalltestshistlost</vt:lpstr>
      <vt:lpstr>Irelandalltestshistplayed</vt:lpstr>
      <vt:lpstr>Irelandalltestshistptsagainst</vt:lpstr>
      <vt:lpstr>Irelandalltestshistptsscored</vt:lpstr>
      <vt:lpstr>Irelandalltestshisttriesscored</vt:lpstr>
      <vt:lpstr>Irelandalltestshistwon</vt:lpstr>
      <vt:lpstr>Irelanddrawn</vt:lpstr>
      <vt:lpstr>Irelandlosingbonus</vt:lpstr>
      <vt:lpstr>Irelandlost</vt:lpstr>
      <vt:lpstr>Irelandplayed</vt:lpstr>
      <vt:lpstr>Irelandptsagainst</vt:lpstr>
      <vt:lpstr>Irelandptsscored</vt:lpstr>
      <vt:lpstr>Irelandred</vt:lpstr>
      <vt:lpstr>IrelandRWChistdrawn</vt:lpstr>
      <vt:lpstr>IrelandRWChistlost</vt:lpstr>
      <vt:lpstr>IrelandRWChistplayed</vt:lpstr>
      <vt:lpstr>IrelandRWChistptsagainst</vt:lpstr>
      <vt:lpstr>IrelandRWChistptsscored</vt:lpstr>
      <vt:lpstr>IrelandRWChisttriesscored</vt:lpstr>
      <vt:lpstr>IrelandRWChistwon</vt:lpstr>
      <vt:lpstr>Irelandtriesagainst</vt:lpstr>
      <vt:lpstr>Irelandtriesscored</vt:lpstr>
      <vt:lpstr>Irelandtrybonus</vt:lpstr>
      <vt:lpstr>Irelandwon</vt:lpstr>
      <vt:lpstr>Irelandyellow</vt:lpstr>
      <vt:lpstr>ita2019alltestsdrawn</vt:lpstr>
      <vt:lpstr>ita2019alltestslost</vt:lpstr>
      <vt:lpstr>ita2019alltestsplayed</vt:lpstr>
      <vt:lpstr>ita2019alltestsptscon</vt:lpstr>
      <vt:lpstr>ita2019alltestsptsscored</vt:lpstr>
      <vt:lpstr>ita2019allteststriescon</vt:lpstr>
      <vt:lpstr>ita2019allteststriesscored</vt:lpstr>
      <vt:lpstr>ita2019alltestswon</vt:lpstr>
      <vt:lpstr>Italyalltestshistdrawn</vt:lpstr>
      <vt:lpstr>Italyalltestshistlost</vt:lpstr>
      <vt:lpstr>Italyalltestshistplayed</vt:lpstr>
      <vt:lpstr>Italyalltestshistptsagainst</vt:lpstr>
      <vt:lpstr>Italyalltestshistptsscored</vt:lpstr>
      <vt:lpstr>Italyalltestshisttriesscored</vt:lpstr>
      <vt:lpstr>Italyalltestshistwon</vt:lpstr>
      <vt:lpstr>Italydrawn</vt:lpstr>
      <vt:lpstr>Italylosingbonus</vt:lpstr>
      <vt:lpstr>Italylost</vt:lpstr>
      <vt:lpstr>Italyplayed</vt:lpstr>
      <vt:lpstr>Italyptsagainst</vt:lpstr>
      <vt:lpstr>Italyptsscored</vt:lpstr>
      <vt:lpstr>Italyred</vt:lpstr>
      <vt:lpstr>ItalyRWChistdrawn</vt:lpstr>
      <vt:lpstr>ItalyRWChistlost</vt:lpstr>
      <vt:lpstr>ItalyRWChistplayed</vt:lpstr>
      <vt:lpstr>ItalyRWChistptsagainst</vt:lpstr>
      <vt:lpstr>ItalyRWChistptsscored</vt:lpstr>
      <vt:lpstr>ItalyRWChisttriesscored</vt:lpstr>
      <vt:lpstr>ItalyRWChistwon</vt:lpstr>
      <vt:lpstr>Italytriesagainst</vt:lpstr>
      <vt:lpstr>Italytriesscored</vt:lpstr>
      <vt:lpstr>Italytrybonus</vt:lpstr>
      <vt:lpstr>Italywon</vt:lpstr>
      <vt:lpstr>Italyyellow</vt:lpstr>
      <vt:lpstr>Japanalltestshistdrawn</vt:lpstr>
      <vt:lpstr>Japanalltestshistlost</vt:lpstr>
      <vt:lpstr>Japanalltestshistplayed</vt:lpstr>
      <vt:lpstr>Japanalltestshistptscon</vt:lpstr>
      <vt:lpstr>Japanalltestshistptsscored</vt:lpstr>
      <vt:lpstr>Japanalltestshisttriesscored</vt:lpstr>
      <vt:lpstr>Japanalltestshisttriesscoredcorrect</vt:lpstr>
      <vt:lpstr>Japanalltestshistwon</vt:lpstr>
      <vt:lpstr>JapanRWChistdrawn</vt:lpstr>
      <vt:lpstr>JapanRWChistlost</vt:lpstr>
      <vt:lpstr>JapanRWChistplayed</vt:lpstr>
      <vt:lpstr>JapanRWChistptsagainst</vt:lpstr>
      <vt:lpstr>JapanRWChistptsscored</vt:lpstr>
      <vt:lpstr>JapanRWChisttriesscored</vt:lpstr>
      <vt:lpstr>JapanRWChistwon</vt:lpstr>
      <vt:lpstr>jpn2019alltestsdrawn</vt:lpstr>
      <vt:lpstr>jpn2019alltestslost</vt:lpstr>
      <vt:lpstr>jpn2019alltestsplayed</vt:lpstr>
      <vt:lpstr>jpn2019alltestsptsagainst</vt:lpstr>
      <vt:lpstr>jpn2019alltestsptsscored</vt:lpstr>
      <vt:lpstr>jpn2019allteststriescon</vt:lpstr>
      <vt:lpstr>jpn2019allteststriesscored</vt:lpstr>
      <vt:lpstr>jpn2019alltestswon</vt:lpstr>
      <vt:lpstr>Nam2019alltestsdrawn</vt:lpstr>
      <vt:lpstr>Nam2019alltestslost</vt:lpstr>
      <vt:lpstr>Nam2019alltestsplayed</vt:lpstr>
      <vt:lpstr>Nam2019alltestsptscon</vt:lpstr>
      <vt:lpstr>Nam2019alltestsptsscored</vt:lpstr>
      <vt:lpstr>Nam2019allteststriescon</vt:lpstr>
      <vt:lpstr>Nam2019allteststriesscored</vt:lpstr>
      <vt:lpstr>Nam2019alltestswon</vt:lpstr>
      <vt:lpstr>Namibiaalltestshistdrawn</vt:lpstr>
      <vt:lpstr>Namibiaalltestshistlost</vt:lpstr>
      <vt:lpstr>Namibiaalltestshistplayed</vt:lpstr>
      <vt:lpstr>Namibiaalltestshistptscon</vt:lpstr>
      <vt:lpstr>Namibiaalltestshistptsscored</vt:lpstr>
      <vt:lpstr>Namibiaalltestshisttriesscored</vt:lpstr>
      <vt:lpstr>Namibiaalltestshistwon</vt:lpstr>
      <vt:lpstr>NamibiaRWChistdrawn</vt:lpstr>
      <vt:lpstr>NamibiaRWChistlost</vt:lpstr>
      <vt:lpstr>NamibiaRWChistplayed</vt:lpstr>
      <vt:lpstr>NamibiaRWChistptsagainst</vt:lpstr>
      <vt:lpstr>NamibiaRWChistptsscored</vt:lpstr>
      <vt:lpstr>NamibiaRWChisttriesscored</vt:lpstr>
      <vt:lpstr>NamibiaRWChistwon</vt:lpstr>
      <vt:lpstr>New_ZealandRWChistdrawn</vt:lpstr>
      <vt:lpstr>New_ZealandRWChistlost</vt:lpstr>
      <vt:lpstr>New_ZealandRWChistplayed</vt:lpstr>
      <vt:lpstr>New_ZealandRWChistptscon</vt:lpstr>
      <vt:lpstr>New_ZealandRWChistptsconcorrect</vt:lpstr>
      <vt:lpstr>New_ZealandRWChistptsscored</vt:lpstr>
      <vt:lpstr>New_ZealandRWChisttriesscored</vt:lpstr>
      <vt:lpstr>New_ZealandRWChistwon</vt:lpstr>
      <vt:lpstr>Nzl2019alltestsdrawn</vt:lpstr>
      <vt:lpstr>Nzl2019alltestshistdrawn</vt:lpstr>
      <vt:lpstr>Nzl2019alltestshistlost</vt:lpstr>
      <vt:lpstr>Nzl2019alltestshistplayed</vt:lpstr>
      <vt:lpstr>Nzl2019alltestshistptscon</vt:lpstr>
      <vt:lpstr>Nzl2019alltestshistptsscored</vt:lpstr>
      <vt:lpstr>Nzl2019alltestshisttriesscored</vt:lpstr>
      <vt:lpstr>Nzl2019alltestshistwon</vt:lpstr>
      <vt:lpstr>Nzl2019alltestslost</vt:lpstr>
      <vt:lpstr>Nzl2019alltestsplayed</vt:lpstr>
      <vt:lpstr>Nzl2019alltestsptscon</vt:lpstr>
      <vt:lpstr>Nzl2019alltestsptsscored</vt:lpstr>
      <vt:lpstr>Nzl2019allteststriescon</vt:lpstr>
      <vt:lpstr>Nzl2019allteststriesscored</vt:lpstr>
      <vt:lpstr>Nzl2019alltestswon</vt:lpstr>
      <vt:lpstr>romaniaalltestsdrawn</vt:lpstr>
      <vt:lpstr>romaniaalltestslost</vt:lpstr>
      <vt:lpstr>romaniaalltestsplayed</vt:lpstr>
      <vt:lpstr>romaniaalltestsptsagainst</vt:lpstr>
      <vt:lpstr>romaniaalltestsptsscored</vt:lpstr>
      <vt:lpstr>romaniaallteststriesagaiant</vt:lpstr>
      <vt:lpstr>romaniaallteststriesscored</vt:lpstr>
      <vt:lpstr>romaniaalltestswon</vt:lpstr>
      <vt:lpstr>Rsa2019alltestsdrawn</vt:lpstr>
      <vt:lpstr>Rsa2019alltestslost</vt:lpstr>
      <vt:lpstr>Rsa2019alltestsplayed</vt:lpstr>
      <vt:lpstr>Rsa2019alltestsptscon</vt:lpstr>
      <vt:lpstr>Rsa2019alltestsptsscored</vt:lpstr>
      <vt:lpstr>Rsa2019allteststriescon</vt:lpstr>
      <vt:lpstr>Rsa2019allteststriesscored</vt:lpstr>
      <vt:lpstr>Rsa2019alltestswon</vt:lpstr>
      <vt:lpstr>Rsaalltestshistdrawn</vt:lpstr>
      <vt:lpstr>Rsaalltestshistlost</vt:lpstr>
      <vt:lpstr>Rsaalltestshistplayed</vt:lpstr>
      <vt:lpstr>Rsaalltestshistptscon</vt:lpstr>
      <vt:lpstr>Rsaalltestshistptsscored</vt:lpstr>
      <vt:lpstr>Rsaalltestshisttriesscored</vt:lpstr>
      <vt:lpstr>Rsaalltestshistwon</vt:lpstr>
      <vt:lpstr>RsaRWChistdrawn</vt:lpstr>
      <vt:lpstr>RsaRWChistlost</vt:lpstr>
      <vt:lpstr>RsaRWChistplayed</vt:lpstr>
      <vt:lpstr>RsaRWChistptscon</vt:lpstr>
      <vt:lpstr>RsaRWChistptsscored</vt:lpstr>
      <vt:lpstr>RsaRWChisttriesscored</vt:lpstr>
      <vt:lpstr>RsaRWChistwon</vt:lpstr>
      <vt:lpstr>Rus2019alltestsdrawn</vt:lpstr>
      <vt:lpstr>Rus2019alltestslost</vt:lpstr>
      <vt:lpstr>Rus2019alltestsplayed</vt:lpstr>
      <vt:lpstr>Rus2019alltestsptscon</vt:lpstr>
      <vt:lpstr>Rus2019alltestsptsscored</vt:lpstr>
      <vt:lpstr>Rus2019allteststriescon</vt:lpstr>
      <vt:lpstr>Rus2019allteststriescored</vt:lpstr>
      <vt:lpstr>Rus2019alltestswon</vt:lpstr>
      <vt:lpstr>Russiaalltestshistdrawn</vt:lpstr>
      <vt:lpstr>Russiaalltestshistlost</vt:lpstr>
      <vt:lpstr>Russiaalltestshistplayed</vt:lpstr>
      <vt:lpstr>Russiaalltestshistptsagainst</vt:lpstr>
      <vt:lpstr>Russiaalltestshistptsscored</vt:lpstr>
      <vt:lpstr>Russiaalltestshisttriesscored</vt:lpstr>
      <vt:lpstr>Russiaalltestshistwon</vt:lpstr>
      <vt:lpstr>RussiaRWChistdrawn</vt:lpstr>
      <vt:lpstr>RussiaRWChistlost</vt:lpstr>
      <vt:lpstr>RussiaRWChistplayed</vt:lpstr>
      <vt:lpstr>RussiaRWChistptscon</vt:lpstr>
      <vt:lpstr>RussiaRWChistptsscored</vt:lpstr>
      <vt:lpstr>RussiaRWChisttriesscored</vt:lpstr>
      <vt:lpstr>RussiaRWChistwon</vt:lpstr>
      <vt:lpstr>RWC2019startaus</vt:lpstr>
      <vt:lpstr>RWC2019startnam</vt:lpstr>
      <vt:lpstr>RWC2019startnzl</vt:lpstr>
      <vt:lpstr>RWC2019startrsa</vt:lpstr>
      <vt:lpstr>RWC2019startsco</vt:lpstr>
      <vt:lpstr>Sam2019alltestsdrawn</vt:lpstr>
      <vt:lpstr>Sam2019alltestslost</vt:lpstr>
      <vt:lpstr>Sam2019alltestsplayed</vt:lpstr>
      <vt:lpstr>Sam2019alltestsptscon</vt:lpstr>
      <vt:lpstr>Sam2019alltestsptsscored</vt:lpstr>
      <vt:lpstr>Sam2019allteststriescon</vt:lpstr>
      <vt:lpstr>Sam2019allteststriescored</vt:lpstr>
      <vt:lpstr>Sam2019alltestswon</vt:lpstr>
      <vt:lpstr>Samalltestshistdrawn</vt:lpstr>
      <vt:lpstr>Samalltestshistlost</vt:lpstr>
      <vt:lpstr>Samalltestshistplayed</vt:lpstr>
      <vt:lpstr>Samalltestshistptscon</vt:lpstr>
      <vt:lpstr>Samalltestshistptsscored</vt:lpstr>
      <vt:lpstr>SamalltestshistTRIESSCORED</vt:lpstr>
      <vt:lpstr>Samalltestshistwon</vt:lpstr>
      <vt:lpstr>SamRWChistdrawn</vt:lpstr>
      <vt:lpstr>SamRWChistlost</vt:lpstr>
      <vt:lpstr>SamRWChistplayed</vt:lpstr>
      <vt:lpstr>SamRWChistptscon</vt:lpstr>
      <vt:lpstr>SamRWChistptsscored</vt:lpstr>
      <vt:lpstr>SamRWChisttriesscored</vt:lpstr>
      <vt:lpstr>SamRWChistwon</vt:lpstr>
      <vt:lpstr>Sco2019alltestsdrawn</vt:lpstr>
      <vt:lpstr>Sco2019alltestslost</vt:lpstr>
      <vt:lpstr>Sco2019alltestsplayed</vt:lpstr>
      <vt:lpstr>Sco2019alltestsptsagainst</vt:lpstr>
      <vt:lpstr>Sco2019alltestsptsscored</vt:lpstr>
      <vt:lpstr>Sco2019allteststriescon</vt:lpstr>
      <vt:lpstr>Sco2019allteststriesscored</vt:lpstr>
      <vt:lpstr>Sco2019alltestswon</vt:lpstr>
      <vt:lpstr>Scotlandalltestshistdrawn</vt:lpstr>
      <vt:lpstr>Scotlandalltestshistlost</vt:lpstr>
      <vt:lpstr>Scotlandalltestshistplayed</vt:lpstr>
      <vt:lpstr>Scotlandalltestshistptscon</vt:lpstr>
      <vt:lpstr>Scotlandalltestshistptsscored</vt:lpstr>
      <vt:lpstr>Scotlandalltestshisttriesscored</vt:lpstr>
      <vt:lpstr>Scotlandalltestshistwon</vt:lpstr>
      <vt:lpstr>Scotlanddrawn</vt:lpstr>
      <vt:lpstr>Scotlandlosingbonus</vt:lpstr>
      <vt:lpstr>Scotlandlost</vt:lpstr>
      <vt:lpstr>Scotlandplayed</vt:lpstr>
      <vt:lpstr>Scotlandptsagainst</vt:lpstr>
      <vt:lpstr>Scotlandptsscored</vt:lpstr>
      <vt:lpstr>Scotlandred</vt:lpstr>
      <vt:lpstr>ScotlandRWChistdrawn</vt:lpstr>
      <vt:lpstr>ScotlandRWChistlost</vt:lpstr>
      <vt:lpstr>ScotlandRWChistplayed</vt:lpstr>
      <vt:lpstr>ScotlandRWChistptscon</vt:lpstr>
      <vt:lpstr>ScotlandRWChistptsscored</vt:lpstr>
      <vt:lpstr>ScotlandRWChisttriesscored</vt:lpstr>
      <vt:lpstr>ScotlandRWChistwon</vt:lpstr>
      <vt:lpstr>Scotlandtriesagainst</vt:lpstr>
      <vt:lpstr>Scotlandtriesscored</vt:lpstr>
      <vt:lpstr>Scotlandtrybonus</vt:lpstr>
      <vt:lpstr>Scotlandwon</vt:lpstr>
      <vt:lpstr>Scotlandyellow</vt:lpstr>
      <vt:lpstr>Ton2019alltestsdrawn</vt:lpstr>
      <vt:lpstr>Ton2019alltestslost</vt:lpstr>
      <vt:lpstr>Ton2019alltestsplayed</vt:lpstr>
      <vt:lpstr>Ton2019alltestsptscon</vt:lpstr>
      <vt:lpstr>Ton2019alltestsptsscored</vt:lpstr>
      <vt:lpstr>Ton2019allteststriescon</vt:lpstr>
      <vt:lpstr>Ton2019allteststriesscored</vt:lpstr>
      <vt:lpstr>Ton2019alltestswon</vt:lpstr>
      <vt:lpstr>Tongaalltestshistdrawn</vt:lpstr>
      <vt:lpstr>Tongaalltestshistlost</vt:lpstr>
      <vt:lpstr>Tongaalltestshistplayed</vt:lpstr>
      <vt:lpstr>Tongaalltestshistptsagainst</vt:lpstr>
      <vt:lpstr>Tongaalltestshistptsscored</vt:lpstr>
      <vt:lpstr>Tongaalltestshisttriesscored</vt:lpstr>
      <vt:lpstr>Tongaalltestshistwon</vt:lpstr>
      <vt:lpstr>TongaRWChistdrawn</vt:lpstr>
      <vt:lpstr>TongaRWChistlost</vt:lpstr>
      <vt:lpstr>TongaRWChistplayed</vt:lpstr>
      <vt:lpstr>TongaRWChistptscon</vt:lpstr>
      <vt:lpstr>TongaRWChistptsscored</vt:lpstr>
      <vt:lpstr>TongaRWChisttriesscored</vt:lpstr>
      <vt:lpstr>TongaRWChistwon</vt:lpstr>
      <vt:lpstr>United_Statesalltestshistdrawn</vt:lpstr>
      <vt:lpstr>United_Statesalltestshistlost</vt:lpstr>
      <vt:lpstr>United_Statesalltestshistplayed</vt:lpstr>
      <vt:lpstr>United_Statesalltestshistptscon</vt:lpstr>
      <vt:lpstr>United_Statesalltestshistptsscored</vt:lpstr>
      <vt:lpstr>United_Statesalltestshisttriesscored</vt:lpstr>
      <vt:lpstr>United_Statesalltestshistwon</vt:lpstr>
      <vt:lpstr>United_StatesRWChistdrawn</vt:lpstr>
      <vt:lpstr>United_StatesRWChistlost</vt:lpstr>
      <vt:lpstr>United_StatesRWChistplayed</vt:lpstr>
      <vt:lpstr>United_StatesRWChistptscon</vt:lpstr>
      <vt:lpstr>United_StatesRWChistptsscored</vt:lpstr>
      <vt:lpstr>United_StatesRWChisttriesscored</vt:lpstr>
      <vt:lpstr>United_StatesRWChistwon</vt:lpstr>
      <vt:lpstr>Uru2019alltestsdrawn</vt:lpstr>
      <vt:lpstr>Uru2019alltestslost</vt:lpstr>
      <vt:lpstr>Uru2019alltestsplayed</vt:lpstr>
      <vt:lpstr>Uru2019alltestsplayedcorrect</vt:lpstr>
      <vt:lpstr>Uru2019alltestsptscon</vt:lpstr>
      <vt:lpstr>Uru2019alltestsptsscored</vt:lpstr>
      <vt:lpstr>Uru2019allteststriescon</vt:lpstr>
      <vt:lpstr>Uru2019allteststriesconcorrect</vt:lpstr>
      <vt:lpstr>Uru2019allteststriesscored</vt:lpstr>
      <vt:lpstr>Uru2019alltestswon</vt:lpstr>
      <vt:lpstr>Urualltestshistdrawn</vt:lpstr>
      <vt:lpstr>Urualltestshistlost</vt:lpstr>
      <vt:lpstr>Urualltestshistplayed</vt:lpstr>
      <vt:lpstr>Urualltestshistptscon</vt:lpstr>
      <vt:lpstr>Urualltestshistptsscored</vt:lpstr>
      <vt:lpstr>Urualltestshisttriesscored</vt:lpstr>
      <vt:lpstr>Urualltestshistwon</vt:lpstr>
      <vt:lpstr>UruRWChistdrawn</vt:lpstr>
      <vt:lpstr>UruRWChistlost</vt:lpstr>
      <vt:lpstr>UruRWChistplayed</vt:lpstr>
      <vt:lpstr>UruRWChistptscon</vt:lpstr>
      <vt:lpstr>UruRWChistptsscored</vt:lpstr>
      <vt:lpstr>UruRWChisttriesscored</vt:lpstr>
      <vt:lpstr>UruRWChistwon</vt:lpstr>
      <vt:lpstr>USA2019alltestsdrawn</vt:lpstr>
      <vt:lpstr>USA2019alltestslost</vt:lpstr>
      <vt:lpstr>USA2019alltestsplayed</vt:lpstr>
      <vt:lpstr>USA2019alltestsptscon</vt:lpstr>
      <vt:lpstr>USA2019alltestsptsscored</vt:lpstr>
      <vt:lpstr>USA2019allteststriescon</vt:lpstr>
      <vt:lpstr>USA2019allteststriesscored</vt:lpstr>
      <vt:lpstr>USA2019alltestswon</vt:lpstr>
      <vt:lpstr>vtriesscored</vt:lpstr>
      <vt:lpstr>Wal2019alltestsdrawn</vt:lpstr>
      <vt:lpstr>Wal2019alltestslostcorrect</vt:lpstr>
      <vt:lpstr>Wal2019alltestsplayed</vt:lpstr>
      <vt:lpstr>Wal2019alltestsptscon</vt:lpstr>
      <vt:lpstr>Wal2019alltestsptsscored</vt:lpstr>
      <vt:lpstr>Wal2019allteststriescon</vt:lpstr>
      <vt:lpstr>Wal2019allteststriesscored</vt:lpstr>
      <vt:lpstr>Wal2019alltestswon</vt:lpstr>
      <vt:lpstr>Walesalltestshistdrawn</vt:lpstr>
      <vt:lpstr>Walesalltestshistlost</vt:lpstr>
      <vt:lpstr>Walesalltestshistplayed</vt:lpstr>
      <vt:lpstr>Walesalltestshistptscon</vt:lpstr>
      <vt:lpstr>Walesalltestshistptsscored</vt:lpstr>
      <vt:lpstr>Walesalltestshisttriesscored</vt:lpstr>
      <vt:lpstr>Walesalltestshistwon</vt:lpstr>
      <vt:lpstr>Walesdrawn</vt:lpstr>
      <vt:lpstr>Waleslosingbonus</vt:lpstr>
      <vt:lpstr>Waleslost</vt:lpstr>
      <vt:lpstr>Walesplayed</vt:lpstr>
      <vt:lpstr>Walesptsagainst</vt:lpstr>
      <vt:lpstr>Walesptsscored</vt:lpstr>
      <vt:lpstr>Walesred</vt:lpstr>
      <vt:lpstr>WalesRWChistdrawn</vt:lpstr>
      <vt:lpstr>WalesRWChistlost</vt:lpstr>
      <vt:lpstr>WalesRWChistplayed</vt:lpstr>
      <vt:lpstr>WalesRWChistptscon</vt:lpstr>
      <vt:lpstr>WalesRWChistptsscored</vt:lpstr>
      <vt:lpstr>WalesRWChisttriesscored</vt:lpstr>
      <vt:lpstr>WalesRWChistwon</vt:lpstr>
      <vt:lpstr>Walestriesagainst</vt:lpstr>
      <vt:lpstr>Walestriesscored</vt:lpstr>
      <vt:lpstr>Walestrybonus</vt:lpstr>
      <vt:lpstr>Waleswon</vt:lpstr>
      <vt:lpstr>Walesyellow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</dc:creator>
  <cp:lastModifiedBy>Ade Hill</cp:lastModifiedBy>
  <cp:lastPrinted>2014-11-10T19:20:47Z</cp:lastPrinted>
  <dcterms:created xsi:type="dcterms:W3CDTF">2013-06-01T17:42:48Z</dcterms:created>
  <dcterms:modified xsi:type="dcterms:W3CDTF">2024-07-10T11:39:51Z</dcterms:modified>
</cp:coreProperties>
</file>