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chaelwhatmore/Desktop/"/>
    </mc:Choice>
  </mc:AlternateContent>
  <xr:revisionPtr revIDLastSave="0" documentId="13_ncr:1_{2751362F-CBDF-D745-8B53-08964852278D}" xr6:coauthVersionLast="47" xr6:coauthVersionMax="47" xr10:uidLastSave="{00000000-0000-0000-0000-000000000000}"/>
  <bookViews>
    <workbookView xWindow="0" yWindow="0" windowWidth="28800" windowHeight="18000" tabRatio="1000" xr2:uid="{AB97C679-01C2-0E47-B171-CB12FE0DEAD1}"/>
  </bookViews>
  <sheets>
    <sheet name="Anthem" sheetId="1" r:id="rId1"/>
    <sheet name="Chicago" sheetId="2" r:id="rId2"/>
    <sheet name="Dallas" sheetId="3" r:id="rId3"/>
    <sheet name="Houston" sheetId="4" r:id="rId4"/>
    <sheet name="Miami" sheetId="5" r:id="rId5"/>
    <sheet name="New England" sheetId="6" r:id="rId6"/>
    <sheet name="NOLA" sheetId="7" r:id="rId7"/>
    <sheet name="Old Glory" sheetId="8" r:id="rId8"/>
    <sheet name="Los Angeles" sheetId="9" r:id="rId9"/>
    <sheet name="San Diego" sheetId="10" r:id="rId10"/>
    <sheet name="Seattle" sheetId="11" r:id="rId11"/>
    <sheet name="Utah" sheetId="12" r:id="rId12"/>
    <sheet name="Results" sheetId="13" r:id="rId13"/>
    <sheet name="Stats" sheetId="14" r:id="rId14"/>
    <sheet name="Tables" sheetId="15" r:id="rId15"/>
    <sheet name="Cards" sheetId="16" r:id="rId16"/>
  </sheets>
  <externalReferences>
    <externalReference r:id="rId17"/>
  </externalReferences>
  <definedNames>
    <definedName name="_xlnm._FilterDatabase" localSheetId="15" hidden="1">Cards!$A$2:$F$2</definedName>
    <definedName name="_xlnm._FilterDatabase" localSheetId="13" hidden="1">Stats!$F$2:$G$2</definedName>
    <definedName name="_xlnm._FilterDatabase" localSheetId="14" hidden="1">Tables!$A$21:$L$21</definedName>
    <definedName name="antdrawn">Anthem!$AA$19</definedName>
    <definedName name="antlosingbonusconceded">Anthem!$Q$19</definedName>
    <definedName name="antlosingbonusscored">Anthem!$I$19</definedName>
    <definedName name="antlost">Anthem!$AB$19</definedName>
    <definedName name="antplayed">Anthem!$Y$19</definedName>
    <definedName name="antpointsconceded">Anthem!$G$19</definedName>
    <definedName name="antpointsscored">Anthem!$F$19</definedName>
    <definedName name="antredcards">Anthem!$O$19</definedName>
    <definedName name="anttriesconceded">Anthem!$R$19</definedName>
    <definedName name="anttriesscored">Anthem!$J$19</definedName>
    <definedName name="anttrybonusconceded">Anthem!$P$19</definedName>
    <definedName name="anttrybonusscored">Anthem!$H$19</definedName>
    <definedName name="antwon">Anthem!$Z$19</definedName>
    <definedName name="antyellowcards">Anthem!$N$19</definedName>
    <definedName name="BENurcseasontotaltriesconceded">[1]BEN!$R$32</definedName>
    <definedName name="BENurcseasontotaltriesscored">[1]BEN!$J$32</definedName>
    <definedName name="BENurctrybonusconceded">[1]BEN!$P$32</definedName>
    <definedName name="BENurctrybonusscored">[1]BEN!$H$32</definedName>
    <definedName name="bullsurcdrawn">[1]BUL!$AA$32</definedName>
    <definedName name="bullsurclosingbonusscored">[1]BUL!$I$32</definedName>
    <definedName name="bullsurclost">[1]BUL!$AB$32</definedName>
    <definedName name="bullsurcplayed">[1]BUL!$Y$32</definedName>
    <definedName name="bullsurcptsagainst">[1]BUL!$G$32</definedName>
    <definedName name="bullsurcptsscored">[1]BUL!$F$32</definedName>
    <definedName name="bullsurctrybonusconc">[1]BUL!$P$32</definedName>
    <definedName name="bullsurctrybonusscored">[1]BUL!$H$32</definedName>
    <definedName name="bullsurcwion">[1]BUL!$Z$32</definedName>
    <definedName name="bulurcseasontotalstriesconc">[1]BUL!$R$34</definedName>
    <definedName name="bulurcseasontotalstriesscored">[1]BUL!$J$34</definedName>
    <definedName name="carseasontotaltriesconceded">[1]CAR!$R$28</definedName>
    <definedName name="carurcdrawn">[1]CAR!$AA$28</definedName>
    <definedName name="carurclosingbonusscored">[1]CAR!$I$28</definedName>
    <definedName name="carurclost">[1]CAR!$AB$28</definedName>
    <definedName name="carurcplayed">[1]CAR!$Y$28</definedName>
    <definedName name="carurcpointsconceded">[1]CAR!$G$28</definedName>
    <definedName name="carurcpointsscored">[1]CAR!$F$28</definedName>
    <definedName name="carurctrybonusconceded">[1]CAR!$P$28</definedName>
    <definedName name="carurctrybonusscored">[1]CAR!$H$28</definedName>
    <definedName name="carurcwon">[1]CAR!$Z$28</definedName>
    <definedName name="cbleuropetriesscored">[1]CAR!$J$28</definedName>
    <definedName name="chidrawn">Chicago!$AA$21</definedName>
    <definedName name="chilosingbonusconceded">Chicago!$Q$21</definedName>
    <definedName name="chilosingbonusscored">Chicago!$I$21</definedName>
    <definedName name="chilost">Chicago!$AB$21</definedName>
    <definedName name="chiplayed">Chicago!$Y$21</definedName>
    <definedName name="chipointsconceded">Chicago!$G$21</definedName>
    <definedName name="chipointsscored">Chicago!$F$21</definedName>
    <definedName name="chiredcards">Chicago!$O$21</definedName>
    <definedName name="chitriesconceded">Chicago!$R$21</definedName>
    <definedName name="chitriesscored">Chicago!$J$21</definedName>
    <definedName name="chitrybonusconceded">Chicago!$P$21</definedName>
    <definedName name="chitrybonusscored">Chicago!$H$21</definedName>
    <definedName name="chiwon">Chicago!$Z$21</definedName>
    <definedName name="chiyellowcards">Chicago!$N$21</definedName>
    <definedName name="conurcdrawn">[1]CON!$AA$32</definedName>
    <definedName name="conurclosingbonusscored">[1]CON!$I$32</definedName>
    <definedName name="conurclost">[1]CON!$AB$32</definedName>
    <definedName name="conurcplayed">[1]CON!$Y$32</definedName>
    <definedName name="conurcpointsconceded">[1]CON!$G$32</definedName>
    <definedName name="conurcpointsscored">[1]CON!$F$32</definedName>
    <definedName name="conurcseasontotaltriesconceded">[1]CON!$R$32</definedName>
    <definedName name="conurcseasontotaltriesscored">[1]CON!$J$32</definedName>
    <definedName name="conurctrybonusconceded">[1]CON!$P$32</definedName>
    <definedName name="conurctrybonusscored">[1]CON!$H$32</definedName>
    <definedName name="conurcwon">[1]CON!$Z$32</definedName>
    <definedName name="daldrawn">Dallas!$AA$21</definedName>
    <definedName name="dallosingbonusconceded">Dallas!$Q$21</definedName>
    <definedName name="dallosingbonusscored">Dallas!$I$21</definedName>
    <definedName name="dallost">Dallas!$AB$21</definedName>
    <definedName name="dalplayed">Dallas!$Y$21</definedName>
    <definedName name="dalpointsconceded">Dallas!$G$21</definedName>
    <definedName name="dalpointsscored">Dallas!$F$21</definedName>
    <definedName name="dalredcards">Dallas!$O$21</definedName>
    <definedName name="daltriesconceded">Dallas!$R$21</definedName>
    <definedName name="daltriesscored">Dallas!$J$21</definedName>
    <definedName name="daltrybonusconceded">Dallas!$P$21</definedName>
    <definedName name="daltrybonusscored">Dallas!$H$21</definedName>
    <definedName name="dalwon">Dallas!$Z$21</definedName>
    <definedName name="dalyellowcards">Dallas!$N$21</definedName>
    <definedName name="draurcdrawn">[1]DRA!$AA$28</definedName>
    <definedName name="draurclosingbonusscored">[1]DRA!$I$28</definedName>
    <definedName name="draurclost">[1]DRA!$AB$28</definedName>
    <definedName name="draurcplayed">[1]DRA!$Y$28</definedName>
    <definedName name="draurcpointsagainst">[1]DRA!$G$28</definedName>
    <definedName name="draurcpointsscored">[1]DRA!$F$28</definedName>
    <definedName name="draurcseasontotaltriesconceded">[1]DRA!$R$28</definedName>
    <definedName name="draurcseasontotaltriesscored">[1]DRA!$J$28</definedName>
    <definedName name="draurctrybonusconceded">[1]DRA!$P$28</definedName>
    <definedName name="draurctrybonusscored">[1]DRA!$H$28</definedName>
    <definedName name="draurcwon">[1]DRA!$Z$28</definedName>
    <definedName name="ediurcdrawn">[1]EDI!$AA$32</definedName>
    <definedName name="ediurclosingbonusscored">[1]EDI!$I$32</definedName>
    <definedName name="ediurclost">[1]EDI!$AB$32</definedName>
    <definedName name="ediurcplayed">[1]EDI!$Y$32</definedName>
    <definedName name="ediurcpointsagainst">[1]EDI!$G$32</definedName>
    <definedName name="ediurcseasontotaltriesconceded">[1]EDI!$R$32</definedName>
    <definedName name="ediurcseasontotaltriesscored">[1]EDI!$J$32</definedName>
    <definedName name="ediurcspointsscored">[1]EDI!$F$32</definedName>
    <definedName name="ediurctrybonusconceded">[1]EDI!$P$32</definedName>
    <definedName name="ediurctrybonusscored">[1]EDI!$H$32</definedName>
    <definedName name="ediurcwon">[1]EDI!$Z$32</definedName>
    <definedName name="glalosingbonusscored">[1]GLA!$I$32</definedName>
    <definedName name="glalost">[1]GLA!$AB$32</definedName>
    <definedName name="GLAP14seasontotalsRC">[1]GLA!$O$33</definedName>
    <definedName name="GLAP14seasontotalstriesscored">[1]GLA!$J$32</definedName>
    <definedName name="glaplayed">[1]GLA!$Y$32</definedName>
    <definedName name="glaptsagainst">[1]GLA!$G$32</definedName>
    <definedName name="glaptsscored">[1]GLA!$F$32</definedName>
    <definedName name="glasgowpotriesconceded">[1]GLA!$R$32</definedName>
    <definedName name="glatbconceded">[1]GLA!$P$32</definedName>
    <definedName name="glatrybonusscored">[1]GLA!$H$32</definedName>
    <definedName name="glaurcdrawn">[1]GLA!$AA$32</definedName>
    <definedName name="glawon">[1]GLA!$Z$32</definedName>
    <definedName name="houdrawn">Houston!$AA$20</definedName>
    <definedName name="houlosingbonusconceded">Houston!$Q$20</definedName>
    <definedName name="houlosingbonusscored">Houston!$I$20</definedName>
    <definedName name="houlost">Houston!$AB$20</definedName>
    <definedName name="houplayed">Houston!$Y$20</definedName>
    <definedName name="houpointsconceded">Houston!$G$20</definedName>
    <definedName name="houpointsscored">Houston!$F$20</definedName>
    <definedName name="houredcards">Houston!$O$20</definedName>
    <definedName name="houtriesconceded">Houston!$R$20</definedName>
    <definedName name="houtriesscored">Houston!$J$20</definedName>
    <definedName name="houtrybonusconceded">Houston!$P$20</definedName>
    <definedName name="houtrybonusscored">Houston!$H$20</definedName>
    <definedName name="houwon">Houston!$Z$20</definedName>
    <definedName name="houyellowcards">Houston!$N$20</definedName>
    <definedName name="ladrawn">'Los Angeles'!$AA$19</definedName>
    <definedName name="lalosingbonusconceded">'Los Angeles'!$Q$19</definedName>
    <definedName name="lalosingbonusscored">'Los Angeles'!$I$19</definedName>
    <definedName name="lalost">'Los Angeles'!$AB$19</definedName>
    <definedName name="laplayed">'Los Angeles'!$Y$19</definedName>
    <definedName name="lapointsconceded">'Los Angeles'!$G$19</definedName>
    <definedName name="lapointsscored">'Los Angeles'!$F$19</definedName>
    <definedName name="laredcards">'Los Angeles'!$O$19</definedName>
    <definedName name="latriesconceded">'Los Angeles'!$R$19</definedName>
    <definedName name="latriesscored">'Los Angeles'!$J$19</definedName>
    <definedName name="latrybonusconceded">'Los Angeles'!$P$19</definedName>
    <definedName name="latrybonusscored">'Los Angeles'!$H$19</definedName>
    <definedName name="lawon">'Los Angeles'!$Z$19</definedName>
    <definedName name="layellowcards">'Los Angeles'!$N$19</definedName>
    <definedName name="leindrawn">[1]LEIN!$AA$32</definedName>
    <definedName name="leinlosingbonusscored">[1]LEIN!$I$32</definedName>
    <definedName name="leinlost">[1]LEIN!$AB$32</definedName>
    <definedName name="LEINP14seasontotalsRC">[1]LEIN!$O$33</definedName>
    <definedName name="leinplayed">[1]LEIN!$Y$32</definedName>
    <definedName name="leinptsagainst">[1]LEIN!$G$32</definedName>
    <definedName name="leinptsscored">[1]LEIN!$F$32</definedName>
    <definedName name="leintbconceded">[1]LEIN!$P$32</definedName>
    <definedName name="leintriesconceded">[1]LEIN!$R$32</definedName>
    <definedName name="leintriesscored">[1]LEIN!$J$32</definedName>
    <definedName name="leintrybonusscored">[1]LEIN!$H$32</definedName>
    <definedName name="leinwon">[1]LEIN!$Z$32</definedName>
    <definedName name="lionsurcdrawn">[1]LIO!$AA$32</definedName>
    <definedName name="lionsurclosingbonusscored">[1]LIO!$I$32</definedName>
    <definedName name="lionsurclost">[1]LIO!$AB$32</definedName>
    <definedName name="lionsurcplayed">[1]LIO!$Y$32</definedName>
    <definedName name="lionsurcptsagainst">[1]LIO!$G$32</definedName>
    <definedName name="lionsurcptsscored">[1]LIO!$F$32</definedName>
    <definedName name="lionsurctrybonusconc">[1]LIO!$P$32</definedName>
    <definedName name="lionsurctrybonusscored">[1]LIO!$H$32</definedName>
    <definedName name="lionsurcwon">[1]LIO!$Z$32</definedName>
    <definedName name="liourcseasontotalstriesconc">[1]LIO!$R$32</definedName>
    <definedName name="liourcseasontotalstriesscored">[1]LIO!$J$32</definedName>
    <definedName name="miadrawn">Miami!$AA$19</definedName>
    <definedName name="mialosingbonusconceded">Miami!$Q$19</definedName>
    <definedName name="mialosingbonusscored">Miami!$I$19</definedName>
    <definedName name="mialost">Miami!$AB$19</definedName>
    <definedName name="miaplayed">Miami!$Y$19</definedName>
    <definedName name="miapointsconceded">Miami!$G$19</definedName>
    <definedName name="miapointsscored">Miami!$F$19</definedName>
    <definedName name="miaredcards">Miami!$O$19</definedName>
    <definedName name="miatriesconceded">Miami!$R$19</definedName>
    <definedName name="miatriesscored">Miami!$J$19</definedName>
    <definedName name="miatrybonusconceded">Miami!$P$19</definedName>
    <definedName name="miatrybonusscored">Miami!$H$19</definedName>
    <definedName name="miawon">Miami!$Z$19</definedName>
    <definedName name="miayellowcards">Miami!$N$19</definedName>
    <definedName name="mundrawn">[1]MUN!$AA$32</definedName>
    <definedName name="munlosingbonusscored">[1]MUN!$I$32</definedName>
    <definedName name="munlost">[1]MUN!$AB$32</definedName>
    <definedName name="MUNP14seasontotalsRC">[1]MUN!$O$32</definedName>
    <definedName name="MUNP14seasontotalstriesconceded">[1]MUN!$R$32</definedName>
    <definedName name="MUNP14seasontotalstriesscored">[1]MUN!$J$32</definedName>
    <definedName name="munplayed">[1]MUN!$Y$32</definedName>
    <definedName name="munptsagainst">[1]MUN!$G$32</definedName>
    <definedName name="munptsscored">[1]MUN!$F$32</definedName>
    <definedName name="muntbconceded">[1]MUN!$P$32</definedName>
    <definedName name="muntrybonusscored">[1]MUN!$H$32</definedName>
    <definedName name="munwon">[1]MUN!$Z$32</definedName>
    <definedName name="newdrawn">'New England'!$AA$22</definedName>
    <definedName name="newlosingbonusconceded">'New England'!$Q$22</definedName>
    <definedName name="newlosingbonusscored">'New England'!$I$22</definedName>
    <definedName name="newlost">'New England'!$AB$22</definedName>
    <definedName name="newplayed">'New England'!$Y$22</definedName>
    <definedName name="newpointsconceded">'New England'!$G$22</definedName>
    <definedName name="newpointsscored">'New England'!$F$22</definedName>
    <definedName name="newredcards">'New England'!$O$22</definedName>
    <definedName name="newtriesconceded">'New England'!$R$22</definedName>
    <definedName name="newtriesscored">'New England'!$J$22</definedName>
    <definedName name="newtrybonusconceded">'New England'!$P$22</definedName>
    <definedName name="newtrybonusscored">'New England'!$H$22</definedName>
    <definedName name="newwon">'New England'!$Z$22</definedName>
    <definedName name="newyellowcards">'New England'!$N$22</definedName>
    <definedName name="noladrawn">NOLA!$AA$20</definedName>
    <definedName name="nolalosingbonusconceded">NOLA!$Q$20</definedName>
    <definedName name="nolalosingbonusscored">NOLA!$I$20</definedName>
    <definedName name="nolalost">NOLA!$AB$20</definedName>
    <definedName name="nolaplayed">NOLA!$Y$20</definedName>
    <definedName name="nolapointsconceded">NOLA!$G$20</definedName>
    <definedName name="nolapointsscored">NOLA!$F$20</definedName>
    <definedName name="nolaredcards">NOLA!$O$20</definedName>
    <definedName name="nolatriesconceded">NOLA!$R$20</definedName>
    <definedName name="nolatriesscored">NOLA!$J$20</definedName>
    <definedName name="nolatrybonusconceded">NOLA!$P$20</definedName>
    <definedName name="nolatrybonusscored">NOLA!$H$20</definedName>
    <definedName name="nolawon">NOLA!$Z$20</definedName>
    <definedName name="nolayellowcards">NOLA!$N$20</definedName>
    <definedName name="ogdcdrawn">'Old Glory'!$AA$20</definedName>
    <definedName name="ogdclosingbonusconceded">'Old Glory'!$Q$20</definedName>
    <definedName name="ogdclosingbonusscored">'Old Glory'!$I$20</definedName>
    <definedName name="ogdclost">'Old Glory'!$AB$20</definedName>
    <definedName name="ogdcplayed">'Old Glory'!$Y$20</definedName>
    <definedName name="ogdcpointsconceded">'Old Glory'!$G$20</definedName>
    <definedName name="ogdcpointsscored">'Old Glory'!$F$20</definedName>
    <definedName name="ogdcredcards">'Old Glory'!$O$20</definedName>
    <definedName name="ogdctriesconceded">'Old Glory'!$R$20</definedName>
    <definedName name="ogdctriesscored">'Old Glory'!$J$20</definedName>
    <definedName name="ogdctrybonusconceded">'Old Glory'!$P$20</definedName>
    <definedName name="ogdctrybonusscored">'Old Glory'!$H$20</definedName>
    <definedName name="ogdcwon">'Old Glory'!$Z$20</definedName>
    <definedName name="ogdcyellowcards">'Old Glory'!$N$20</definedName>
    <definedName name="ospdrawn">[1]OSP!$AA$32</definedName>
    <definedName name="osplosingbonusscored">[1]OSP!$I$32</definedName>
    <definedName name="osplost">[1]OSP!$AB$32</definedName>
    <definedName name="OSPP14seasontotalstriesconceded">[1]OSP!$R$32</definedName>
    <definedName name="OSPP14seasontotalstriesscored">[1]OSP!$J$32</definedName>
    <definedName name="ospplayed">[1]OSP!$Y$32</definedName>
    <definedName name="ospptsagainst">[1]OSP!$G$32</definedName>
    <definedName name="ospptsscored">[1]OSP!$F$32</definedName>
    <definedName name="osptbconceded">[1]OSP!$P$32</definedName>
    <definedName name="osptrybonusscored">[1]OSP!$H$32</definedName>
    <definedName name="ospwon">[1]OSP!$Z$32</definedName>
    <definedName name="scadrawn">[1]SCA!$AA$28</definedName>
    <definedName name="scalosingbonusscored">[1]SCA!$I$28</definedName>
    <definedName name="scalost">[1]SCA!$AB$28</definedName>
    <definedName name="SCAP14seasontotalsRC">[1]SCA!$O$28</definedName>
    <definedName name="SCAP14seasontotalstriesconceded">[1]SCA!$R$28</definedName>
    <definedName name="SCAP14seasontotalstriesscored">[1]SCA!$J$28</definedName>
    <definedName name="scaplayed">[1]SCA!$Y$28</definedName>
    <definedName name="scaptsagainst">[1]SCA!$G$28</definedName>
    <definedName name="scaptsscored">[1]SCA!$F$28</definedName>
    <definedName name="scatbconcededcorrect">[1]SCA!$P$28</definedName>
    <definedName name="scatrybonusscored">[1]SCA!$H$28</definedName>
    <definedName name="scawon">[1]SCA!$Z$28</definedName>
    <definedName name="sdldrawn">'San Diego'!$AA$20</definedName>
    <definedName name="sdllosingbonusconceded">'San Diego'!$Q$20</definedName>
    <definedName name="sdllosingbonusscored">'San Diego'!$I$20</definedName>
    <definedName name="sdllost">'San Diego'!$AB$20</definedName>
    <definedName name="sdlplayed">'San Diego'!$Y$20</definedName>
    <definedName name="sdlpointsconceded">'San Diego'!$G$20</definedName>
    <definedName name="sdlpointsscored">'San Diego'!$F$20</definedName>
    <definedName name="sdlredcards">'San Diego'!$O$20</definedName>
    <definedName name="sdltriesconceded">'San Diego'!$R$20</definedName>
    <definedName name="sdltriesscored">'San Diego'!$J$20</definedName>
    <definedName name="sdltrybonusconceded">'San Diego'!$P$20</definedName>
    <definedName name="sdltrybonusscored">'San Diego'!$H$20</definedName>
    <definedName name="sdlwon">'San Diego'!$Z$20</definedName>
    <definedName name="sdlyellowcards">'San Diego'!$N$20</definedName>
    <definedName name="seadrawn">Seattle!$AA$22</definedName>
    <definedName name="sealosingbonusconceded">Seattle!$Q$22</definedName>
    <definedName name="sealosingbonusscored">Seattle!$I$22</definedName>
    <definedName name="sealost">Seattle!$AB$22</definedName>
    <definedName name="seaplayed">Seattle!$Y$22</definedName>
    <definedName name="seapointsconceded">Seattle!$G$22</definedName>
    <definedName name="seapointsscored">Seattle!$F$22</definedName>
    <definedName name="searedcards">Seattle!$O$22</definedName>
    <definedName name="seatriesconceded">Seattle!$R$22</definedName>
    <definedName name="seatriesscored">Seattle!$J$22</definedName>
    <definedName name="seatrybonusconceded">Seattle!$P$22</definedName>
    <definedName name="seatrybonusscored">Seattle!$H$22</definedName>
    <definedName name="seawon">Seattle!$Z$22</definedName>
    <definedName name="seayellowcards">Seattle!$N$22</definedName>
    <definedName name="shaurcdrawn">[1]SHA!$AA$32</definedName>
    <definedName name="shaurclosingbonusscored">[1]SHA!$I$32</definedName>
    <definedName name="shaurclost">[1]SHA!$AB$32</definedName>
    <definedName name="shaurcplayed">[1]SHA!$Y$32</definedName>
    <definedName name="shaurcptsagainst">[1]SHA!$G$32</definedName>
    <definedName name="shaurcptsscored">[1]SHA!$F$32</definedName>
    <definedName name="shaurcseasontotalstriesconc">[1]SHA!$R$32</definedName>
    <definedName name="shaurctriesscored">[1]SHA!$J$32</definedName>
    <definedName name="shaurctrybonusconc">[1]SHA!$P$32</definedName>
    <definedName name="shaurctrybonusscored">[1]SHA!$H$32</definedName>
    <definedName name="shaurcwon">[1]SHA!$Z$32</definedName>
    <definedName name="stourcdrawn">[1]STO!$AA$32</definedName>
    <definedName name="stourclosingbonusscored">[1]STO!$I$32</definedName>
    <definedName name="stourclost">[1]STO!$AB$32</definedName>
    <definedName name="stourcplayed">[1]STO!$Y$32</definedName>
    <definedName name="stourcptsagainst">[1]STO!$G$32</definedName>
    <definedName name="stourcptsscored">[1]STO!$F$32</definedName>
    <definedName name="stourcseasontotalsrc">[1]STO!$O$34</definedName>
    <definedName name="stourcseasontotalstriesconc">[1]STO!$R$34</definedName>
    <definedName name="stourcseasontotalstriesscored">[1]STO!$J$34</definedName>
    <definedName name="stourctrybonusconc">[1]STO!$P$32</definedName>
    <definedName name="stourctrybonusscored">[1]STO!$H$32</definedName>
    <definedName name="stourcwon">[1]STO!$Z$32</definedName>
    <definedName name="tredrawn">[1]BEN!$AA$32</definedName>
    <definedName name="trelosingbonusscored">[1]BEN!$I$32</definedName>
    <definedName name="trelost">[1]BEN!$AB$32</definedName>
    <definedName name="treplayed">[1]BEN!$Y$32</definedName>
    <definedName name="treptsagainst">[1]BEN!$G$32</definedName>
    <definedName name="treptsscored">[1]BEN!$F$32</definedName>
    <definedName name="tretrybonusscored">[1]BEN!$H$32</definedName>
    <definedName name="trewon">[1]BEN!$Z$32</definedName>
    <definedName name="ulsdrawn">[1]ULS!$AA$32</definedName>
    <definedName name="ulslosingbonusscored">[1]ULS!$I$32</definedName>
    <definedName name="ulslost">[1]ULS!$AB$32</definedName>
    <definedName name="ULSP14seasontotalsRC">[1]ULS!$O$32</definedName>
    <definedName name="ULSP14seasontotalstriesconceded">[1]ULS!$R$32</definedName>
    <definedName name="ULSP14seasontotalstriesscored">[1]ULS!$J$32</definedName>
    <definedName name="ulsplayed">[1]ULS!$Y$32</definedName>
    <definedName name="ulsptsagainst">[1]ULS!$G$32</definedName>
    <definedName name="ulsptsscored">[1]ULS!$F$32</definedName>
    <definedName name="ulstbconceded">[1]ULS!$P$32</definedName>
    <definedName name="ulstrybonusscored">[1]ULS!$H$32</definedName>
    <definedName name="ulswon">[1]ULS!$Z$32</definedName>
    <definedName name="utadrawn">Utah!$AA$19</definedName>
    <definedName name="utalosingbonusconceded">Utah!$Q$19</definedName>
    <definedName name="utalosingbonusscored">Utah!$I$19</definedName>
    <definedName name="utalost">Utah!$AB$19</definedName>
    <definedName name="utaplayed">Utah!$Y$19</definedName>
    <definedName name="utapointsconceded">Utah!$G$19</definedName>
    <definedName name="utapointsscored">Utah!$F$19</definedName>
    <definedName name="utaredcards">Utah!$O$19</definedName>
    <definedName name="utatriesconceded">Utah!$R$19</definedName>
    <definedName name="utatriesscored">Utah!$J$19</definedName>
    <definedName name="utatrybonusconceded">Utah!$P$19</definedName>
    <definedName name="utatrybonusscored">Utah!$H$19</definedName>
    <definedName name="utawon">Utah!$Z$19</definedName>
    <definedName name="utayellowcards">Utah!$N$19</definedName>
    <definedName name="zebdrawn">'[1]ZEB '!$AA$32</definedName>
    <definedName name="zeblosingbonusscored">'[1]ZEB '!$I$32</definedName>
    <definedName name="zeblost">'[1]ZEB '!$AB$32</definedName>
    <definedName name="ZEBP14seasontotalsRC">'[1]ZEB '!$O$32</definedName>
    <definedName name="ZEBP14seasontotalstriesconceded">'[1]ZEB '!$R$32</definedName>
    <definedName name="zebplayed">'[1]ZEB '!$Y$32</definedName>
    <definedName name="zebptsagainst">'[1]ZEB '!$G$32</definedName>
    <definedName name="zebptsscored">'[1]ZEB '!$F$32</definedName>
    <definedName name="zebtbconceded">'[1]ZEB '!$P$32</definedName>
    <definedName name="zebtriesscored">'[1]ZEB '!$J$32</definedName>
    <definedName name="zebtrybonusscored">'[1]ZEB '!$H$32</definedName>
    <definedName name="zebwon">'[1]ZEB '!$Z$32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22" i="3" l="1"/>
  <c r="AM22" i="3"/>
  <c r="AN22" i="3"/>
  <c r="AK22" i="3"/>
  <c r="AH22" i="3"/>
  <c r="AI22" i="3"/>
  <c r="AJ22" i="3"/>
  <c r="AG22" i="3"/>
  <c r="AD22" i="3"/>
  <c r="AE22" i="3"/>
  <c r="AF22" i="3"/>
  <c r="AC22" i="3"/>
  <c r="Z22" i="3"/>
  <c r="AA22" i="3"/>
  <c r="AB22" i="3"/>
  <c r="Y22" i="3"/>
  <c r="R22" i="3"/>
  <c r="K22" i="3"/>
  <c r="L22" i="3"/>
  <c r="M22" i="3"/>
  <c r="N22" i="3"/>
  <c r="O22" i="3"/>
  <c r="J22" i="3"/>
  <c r="G22" i="3"/>
  <c r="F22" i="3"/>
  <c r="AL22" i="2"/>
  <c r="AM22" i="2"/>
  <c r="AN22" i="2"/>
  <c r="AK22" i="2"/>
  <c r="AH22" i="2"/>
  <c r="AI22" i="2"/>
  <c r="AJ22" i="2"/>
  <c r="AG22" i="2"/>
  <c r="AD22" i="2"/>
  <c r="AE22" i="2"/>
  <c r="AF22" i="2"/>
  <c r="AC22" i="2"/>
  <c r="Z22" i="2"/>
  <c r="AA22" i="2"/>
  <c r="AB22" i="2"/>
  <c r="Y22" i="2"/>
  <c r="R22" i="2"/>
  <c r="K22" i="2"/>
  <c r="L22" i="2"/>
  <c r="M22" i="2"/>
  <c r="N22" i="2"/>
  <c r="O22" i="2"/>
  <c r="J22" i="2"/>
  <c r="G22" i="2"/>
  <c r="F22" i="2"/>
  <c r="AL21" i="10"/>
  <c r="AM21" i="10"/>
  <c r="AN21" i="10"/>
  <c r="AK21" i="10"/>
  <c r="AH21" i="10"/>
  <c r="AI21" i="10"/>
  <c r="AJ21" i="10"/>
  <c r="AG21" i="10"/>
  <c r="AD20" i="10"/>
  <c r="AE20" i="10"/>
  <c r="AF20" i="10"/>
  <c r="AC20" i="10"/>
  <c r="AC22" i="10" s="1"/>
  <c r="AD22" i="10"/>
  <c r="AD21" i="10"/>
  <c r="AE21" i="10"/>
  <c r="AF21" i="10"/>
  <c r="AC21" i="10"/>
  <c r="Z21" i="10"/>
  <c r="AA21" i="10"/>
  <c r="AB21" i="10"/>
  <c r="Y21" i="10"/>
  <c r="R21" i="10"/>
  <c r="K21" i="10"/>
  <c r="L21" i="10"/>
  <c r="M21" i="10"/>
  <c r="N21" i="10"/>
  <c r="O21" i="10"/>
  <c r="J21" i="10"/>
  <c r="G21" i="10"/>
  <c r="F21" i="10"/>
  <c r="B6" i="16"/>
  <c r="B11" i="16"/>
  <c r="AL21" i="7"/>
  <c r="AM21" i="7"/>
  <c r="AN21" i="7"/>
  <c r="AK21" i="7"/>
  <c r="AH21" i="7"/>
  <c r="AI21" i="7"/>
  <c r="AJ21" i="7"/>
  <c r="AG21" i="7"/>
  <c r="AD21" i="7"/>
  <c r="AE21" i="7"/>
  <c r="AF21" i="7"/>
  <c r="AC21" i="7"/>
  <c r="Z21" i="7"/>
  <c r="AA21" i="7"/>
  <c r="AB21" i="7"/>
  <c r="Y21" i="7"/>
  <c r="R21" i="7"/>
  <c r="K21" i="7"/>
  <c r="L21" i="7"/>
  <c r="M21" i="7"/>
  <c r="N21" i="7"/>
  <c r="O21" i="7"/>
  <c r="J21" i="7"/>
  <c r="G21" i="7"/>
  <c r="F21" i="7"/>
  <c r="AL21" i="4"/>
  <c r="AM21" i="4"/>
  <c r="AN21" i="4"/>
  <c r="AK21" i="4"/>
  <c r="AH21" i="4"/>
  <c r="AI21" i="4"/>
  <c r="AJ21" i="4"/>
  <c r="AG21" i="4"/>
  <c r="AD21" i="4"/>
  <c r="AE21" i="4"/>
  <c r="AF21" i="4"/>
  <c r="AC21" i="4"/>
  <c r="Z21" i="4"/>
  <c r="AA21" i="4"/>
  <c r="AB21" i="4"/>
  <c r="Y21" i="4"/>
  <c r="R21" i="4"/>
  <c r="K21" i="4"/>
  <c r="L21" i="4"/>
  <c r="M21" i="4"/>
  <c r="N21" i="4"/>
  <c r="O21" i="4"/>
  <c r="J21" i="4"/>
  <c r="G21" i="4"/>
  <c r="F21" i="4"/>
  <c r="AL21" i="8"/>
  <c r="AM21" i="8"/>
  <c r="AN21" i="8"/>
  <c r="AK21" i="8"/>
  <c r="AH21" i="8"/>
  <c r="AI21" i="8"/>
  <c r="AJ21" i="8"/>
  <c r="AG21" i="8"/>
  <c r="AE21" i="8"/>
  <c r="AF21" i="8"/>
  <c r="AD21" i="8"/>
  <c r="AC21" i="8"/>
  <c r="AB21" i="8"/>
  <c r="AA21" i="8"/>
  <c r="Z21" i="8"/>
  <c r="Y21" i="8"/>
  <c r="R21" i="8"/>
  <c r="K21" i="8"/>
  <c r="L21" i="8"/>
  <c r="M21" i="8"/>
  <c r="N21" i="8"/>
  <c r="O21" i="8"/>
  <c r="J21" i="8"/>
  <c r="G21" i="8"/>
  <c r="F21" i="8"/>
  <c r="Z20" i="12"/>
  <c r="AA20" i="12"/>
  <c r="AB20" i="12"/>
  <c r="AC20" i="12"/>
  <c r="AD20" i="12"/>
  <c r="AE20" i="12"/>
  <c r="AF20" i="12"/>
  <c r="AG20" i="12"/>
  <c r="AH20" i="12"/>
  <c r="AI20" i="12"/>
  <c r="AJ20" i="12"/>
  <c r="AK20" i="12"/>
  <c r="AL20" i="12"/>
  <c r="AM20" i="12"/>
  <c r="AN20" i="12"/>
  <c r="Y20" i="12"/>
  <c r="Z20" i="9"/>
  <c r="AA20" i="9"/>
  <c r="AB20" i="9"/>
  <c r="AC20" i="9"/>
  <c r="AD20" i="9"/>
  <c r="AE20" i="9"/>
  <c r="AF20" i="9"/>
  <c r="AG20" i="9"/>
  <c r="AH20" i="9"/>
  <c r="AI20" i="9"/>
  <c r="AJ20" i="9"/>
  <c r="AK20" i="9"/>
  <c r="AL20" i="9"/>
  <c r="AM20" i="9"/>
  <c r="AN20" i="9"/>
  <c r="Y20" i="9"/>
  <c r="Z20" i="5"/>
  <c r="AA20" i="5"/>
  <c r="AB20" i="5"/>
  <c r="AC20" i="5"/>
  <c r="AD20" i="5"/>
  <c r="AE20" i="5"/>
  <c r="AF20" i="5"/>
  <c r="AG20" i="5"/>
  <c r="AH20" i="5"/>
  <c r="AI20" i="5"/>
  <c r="AJ20" i="5"/>
  <c r="AK20" i="5"/>
  <c r="AL20" i="5"/>
  <c r="AM20" i="5"/>
  <c r="AN20" i="5"/>
  <c r="Y20" i="5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G20" i="1"/>
  <c r="H20" i="1"/>
  <c r="I20" i="1"/>
  <c r="J20" i="1"/>
  <c r="K20" i="1"/>
  <c r="L20" i="1"/>
  <c r="M20" i="1"/>
  <c r="N20" i="1"/>
  <c r="O20" i="1"/>
  <c r="P20" i="1"/>
  <c r="Q20" i="1"/>
  <c r="R20" i="1"/>
  <c r="Y20" i="1"/>
  <c r="M119" i="13"/>
  <c r="N119" i="13"/>
  <c r="M120" i="13"/>
  <c r="N120" i="13"/>
  <c r="O5" i="16"/>
  <c r="Q5" i="16" s="1"/>
  <c r="O6" i="16"/>
  <c r="P6" i="16" s="1"/>
  <c r="O7" i="16"/>
  <c r="Q7" i="16" s="1"/>
  <c r="O8" i="16"/>
  <c r="Q8" i="16" s="1"/>
  <c r="O9" i="16"/>
  <c r="Q9" i="16" s="1"/>
  <c r="O10" i="16"/>
  <c r="P10" i="16" s="1"/>
  <c r="O11" i="16"/>
  <c r="Q11" i="16" s="1"/>
  <c r="O12" i="16"/>
  <c r="Q12" i="16" s="1"/>
  <c r="O13" i="16"/>
  <c r="Q13" i="16" s="1"/>
  <c r="O14" i="16"/>
  <c r="Q14" i="16" s="1"/>
  <c r="O15" i="16"/>
  <c r="Q15" i="16" s="1"/>
  <c r="O4" i="16"/>
  <c r="Q4" i="16" s="1"/>
  <c r="O23" i="16"/>
  <c r="Q23" i="16" s="1"/>
  <c r="O24" i="16"/>
  <c r="P24" i="16" s="1"/>
  <c r="O25" i="16"/>
  <c r="Q25" i="16" s="1"/>
  <c r="O26" i="16"/>
  <c r="Q26" i="16" s="1"/>
  <c r="O27" i="16"/>
  <c r="P27" i="16" s="1"/>
  <c r="O28" i="16"/>
  <c r="P28" i="16" s="1"/>
  <c r="O29" i="16"/>
  <c r="P29" i="16" s="1"/>
  <c r="O30" i="16"/>
  <c r="Q30" i="16" s="1"/>
  <c r="O31" i="16"/>
  <c r="Q31" i="16" s="1"/>
  <c r="O32" i="16"/>
  <c r="P32" i="16" s="1"/>
  <c r="O33" i="16"/>
  <c r="P33" i="16" s="1"/>
  <c r="O22" i="16"/>
  <c r="Q22" i="16" s="1"/>
  <c r="J16" i="16"/>
  <c r="K16" i="16"/>
  <c r="L16" i="16"/>
  <c r="M16" i="16"/>
  <c r="N16" i="16"/>
  <c r="I16" i="16"/>
  <c r="N34" i="16"/>
  <c r="M34" i="16"/>
  <c r="L34" i="16"/>
  <c r="K34" i="16"/>
  <c r="J34" i="16"/>
  <c r="I34" i="16"/>
  <c r="N115" i="13"/>
  <c r="M115" i="13"/>
  <c r="N114" i="13"/>
  <c r="M114" i="13"/>
  <c r="N113" i="13"/>
  <c r="M113" i="13"/>
  <c r="N112" i="13"/>
  <c r="M112" i="13"/>
  <c r="N111" i="13"/>
  <c r="M111" i="13"/>
  <c r="N110" i="13"/>
  <c r="M110" i="13"/>
  <c r="N108" i="13"/>
  <c r="M108" i="13"/>
  <c r="N107" i="13"/>
  <c r="M107" i="13"/>
  <c r="N106" i="13"/>
  <c r="M106" i="13"/>
  <c r="N105" i="13"/>
  <c r="M105" i="13"/>
  <c r="N104" i="13"/>
  <c r="M104" i="13"/>
  <c r="N103" i="13"/>
  <c r="M103" i="13"/>
  <c r="N58" i="13"/>
  <c r="M58" i="13"/>
  <c r="N57" i="13"/>
  <c r="M57" i="13"/>
  <c r="N56" i="13"/>
  <c r="M56" i="13"/>
  <c r="N55" i="13"/>
  <c r="M55" i="13"/>
  <c r="N54" i="13"/>
  <c r="M54" i="13"/>
  <c r="N52" i="13"/>
  <c r="M52" i="13"/>
  <c r="N51" i="13"/>
  <c r="M51" i="13"/>
  <c r="N50" i="13"/>
  <c r="M50" i="13"/>
  <c r="N49" i="13"/>
  <c r="M49" i="13"/>
  <c r="N48" i="13"/>
  <c r="M48" i="13"/>
  <c r="N46" i="13"/>
  <c r="M46" i="13"/>
  <c r="N45" i="13"/>
  <c r="M45" i="13"/>
  <c r="N44" i="13"/>
  <c r="M44" i="13"/>
  <c r="N43" i="13"/>
  <c r="M43" i="13"/>
  <c r="N42" i="13"/>
  <c r="M42" i="13"/>
  <c r="N40" i="13"/>
  <c r="M40" i="13"/>
  <c r="N39" i="13"/>
  <c r="M39" i="13"/>
  <c r="N38" i="13"/>
  <c r="M38" i="13"/>
  <c r="N37" i="13"/>
  <c r="M37" i="13"/>
  <c r="N36" i="13"/>
  <c r="M36" i="13"/>
  <c r="N34" i="13"/>
  <c r="M34" i="13"/>
  <c r="N33" i="13"/>
  <c r="M33" i="13"/>
  <c r="N32" i="13"/>
  <c r="M32" i="13"/>
  <c r="N31" i="13"/>
  <c r="M31" i="13"/>
  <c r="N29" i="13"/>
  <c r="M29" i="13"/>
  <c r="N28" i="13"/>
  <c r="M28" i="13"/>
  <c r="N27" i="13"/>
  <c r="M27" i="13"/>
  <c r="N26" i="13"/>
  <c r="M26" i="13"/>
  <c r="N25" i="13"/>
  <c r="M25" i="13"/>
  <c r="N24" i="13"/>
  <c r="M24" i="13"/>
  <c r="N22" i="13"/>
  <c r="M22" i="13"/>
  <c r="N21" i="13"/>
  <c r="M21" i="13"/>
  <c r="N20" i="13"/>
  <c r="M20" i="13"/>
  <c r="N19" i="13"/>
  <c r="M19" i="13"/>
  <c r="N18" i="13"/>
  <c r="M18" i="13"/>
  <c r="N17" i="13"/>
  <c r="M17" i="13"/>
  <c r="N15" i="13"/>
  <c r="M15" i="13"/>
  <c r="N14" i="13"/>
  <c r="M14" i="13"/>
  <c r="N13" i="13"/>
  <c r="M13" i="13"/>
  <c r="N12" i="13"/>
  <c r="M12" i="13"/>
  <c r="N11" i="13"/>
  <c r="M11" i="13"/>
  <c r="N10" i="13"/>
  <c r="M10" i="13"/>
  <c r="N8" i="13"/>
  <c r="M8" i="13"/>
  <c r="N7" i="13"/>
  <c r="M7" i="13"/>
  <c r="N6" i="13"/>
  <c r="M6" i="13"/>
  <c r="N5" i="13"/>
  <c r="M5" i="13"/>
  <c r="N4" i="13"/>
  <c r="M4" i="13"/>
  <c r="N3" i="13"/>
  <c r="M3" i="13"/>
  <c r="F127" i="13"/>
  <c r="D127" i="13"/>
  <c r="N125" i="13"/>
  <c r="M125" i="13"/>
  <c r="N123" i="13"/>
  <c r="M123" i="13"/>
  <c r="N122" i="13"/>
  <c r="M122" i="13"/>
  <c r="N118" i="13"/>
  <c r="M118" i="13"/>
  <c r="N117" i="13"/>
  <c r="M117" i="13"/>
  <c r="N101" i="13"/>
  <c r="M101" i="13"/>
  <c r="N100" i="13"/>
  <c r="M100" i="13"/>
  <c r="N99" i="13"/>
  <c r="M99" i="13"/>
  <c r="N98" i="13"/>
  <c r="M98" i="13"/>
  <c r="N97" i="13"/>
  <c r="M97" i="13"/>
  <c r="N96" i="13"/>
  <c r="M96" i="13"/>
  <c r="N94" i="13"/>
  <c r="M94" i="13"/>
  <c r="N93" i="13"/>
  <c r="M93" i="13"/>
  <c r="N92" i="13"/>
  <c r="M92" i="13"/>
  <c r="N91" i="13"/>
  <c r="M91" i="13"/>
  <c r="N90" i="13"/>
  <c r="M90" i="13"/>
  <c r="N89" i="13"/>
  <c r="M89" i="13"/>
  <c r="N87" i="13"/>
  <c r="M87" i="13"/>
  <c r="N86" i="13"/>
  <c r="M86" i="13"/>
  <c r="N85" i="13"/>
  <c r="M85" i="13"/>
  <c r="N84" i="13"/>
  <c r="M84" i="13"/>
  <c r="N83" i="13"/>
  <c r="M83" i="13"/>
  <c r="N81" i="13"/>
  <c r="M81" i="13"/>
  <c r="N80" i="13"/>
  <c r="M80" i="13"/>
  <c r="N79" i="13"/>
  <c r="M79" i="13"/>
  <c r="N78" i="13"/>
  <c r="M78" i="13"/>
  <c r="N76" i="13"/>
  <c r="M76" i="13"/>
  <c r="N75" i="13"/>
  <c r="M75" i="13"/>
  <c r="N74" i="13"/>
  <c r="M74" i="13"/>
  <c r="N73" i="13"/>
  <c r="M73" i="13"/>
  <c r="N72" i="13"/>
  <c r="M72" i="13"/>
  <c r="N70" i="13"/>
  <c r="M70" i="13"/>
  <c r="N69" i="13"/>
  <c r="M69" i="13"/>
  <c r="N68" i="13"/>
  <c r="M68" i="13"/>
  <c r="N67" i="13"/>
  <c r="M67" i="13"/>
  <c r="N66" i="13"/>
  <c r="M66" i="13"/>
  <c r="N64" i="13"/>
  <c r="M64" i="13"/>
  <c r="N63" i="13"/>
  <c r="M63" i="13"/>
  <c r="N62" i="13"/>
  <c r="M62" i="13"/>
  <c r="N61" i="13"/>
  <c r="M61" i="13"/>
  <c r="N60" i="13"/>
  <c r="M60" i="13"/>
  <c r="AN19" i="12"/>
  <c r="AM19" i="12"/>
  <c r="AL19" i="12"/>
  <c r="AK19" i="12"/>
  <c r="AJ19" i="12"/>
  <c r="AI19" i="12"/>
  <c r="AH19" i="12"/>
  <c r="AG19" i="12"/>
  <c r="AF19" i="12"/>
  <c r="AE19" i="12"/>
  <c r="AD19" i="12"/>
  <c r="AC19" i="12"/>
  <c r="AB19" i="12"/>
  <c r="AA19" i="12"/>
  <c r="AQ4" i="12" s="1"/>
  <c r="Z19" i="12"/>
  <c r="AQ3" i="12" s="1"/>
  <c r="Y19" i="12"/>
  <c r="AQ2" i="12" s="1"/>
  <c r="R19" i="12"/>
  <c r="R20" i="12" s="1"/>
  <c r="Q19" i="12"/>
  <c r="Q20" i="12" s="1"/>
  <c r="P19" i="12"/>
  <c r="P20" i="12" s="1"/>
  <c r="O19" i="12"/>
  <c r="O20" i="12" s="1"/>
  <c r="N19" i="12"/>
  <c r="N20" i="12" s="1"/>
  <c r="M19" i="12"/>
  <c r="M20" i="12" s="1"/>
  <c r="L19" i="12"/>
  <c r="L20" i="12" s="1"/>
  <c r="K19" i="12"/>
  <c r="K20" i="12" s="1"/>
  <c r="J19" i="12"/>
  <c r="J20" i="12" s="1"/>
  <c r="I19" i="12"/>
  <c r="I20" i="12" s="1"/>
  <c r="H19" i="12"/>
  <c r="H20" i="12" s="1"/>
  <c r="G19" i="12"/>
  <c r="F19" i="12"/>
  <c r="AN23" i="11"/>
  <c r="AM23" i="11"/>
  <c r="AL23" i="11"/>
  <c r="AK23" i="11"/>
  <c r="AJ23" i="11"/>
  <c r="AI23" i="11"/>
  <c r="AH23" i="11"/>
  <c r="AG23" i="11"/>
  <c r="AF23" i="11"/>
  <c r="AE23" i="11"/>
  <c r="AD23" i="11"/>
  <c r="AC23" i="11"/>
  <c r="AB23" i="11"/>
  <c r="AA23" i="11"/>
  <c r="Z23" i="11"/>
  <c r="Y23" i="11"/>
  <c r="R23" i="11"/>
  <c r="O23" i="11"/>
  <c r="N23" i="11"/>
  <c r="M23" i="11"/>
  <c r="L23" i="11"/>
  <c r="K23" i="11"/>
  <c r="J23" i="11"/>
  <c r="G23" i="11"/>
  <c r="F23" i="11"/>
  <c r="AN22" i="11"/>
  <c r="AN24" i="11" s="1"/>
  <c r="AM22" i="11"/>
  <c r="AL22" i="11"/>
  <c r="AK22" i="11"/>
  <c r="AJ22" i="11"/>
  <c r="AJ24" i="11" s="1"/>
  <c r="AI22" i="11"/>
  <c r="AI24" i="11" s="1"/>
  <c r="AH22" i="11"/>
  <c r="AH24" i="11" s="1"/>
  <c r="AG22" i="11"/>
  <c r="AG24" i="11" s="1"/>
  <c r="AF22" i="11"/>
  <c r="AE22" i="11"/>
  <c r="AD22" i="11"/>
  <c r="AC22" i="11"/>
  <c r="AB22" i="11"/>
  <c r="AB24" i="11" s="1"/>
  <c r="AQ5" i="11" s="1"/>
  <c r="AA22" i="11"/>
  <c r="Z22" i="11"/>
  <c r="Y22" i="11"/>
  <c r="R22" i="11"/>
  <c r="Q22" i="11"/>
  <c r="Q24" i="11" s="1"/>
  <c r="P22" i="11"/>
  <c r="P24" i="11" s="1"/>
  <c r="O22" i="11"/>
  <c r="N22" i="11"/>
  <c r="M22" i="11"/>
  <c r="L22" i="11"/>
  <c r="K22" i="11"/>
  <c r="J22" i="11"/>
  <c r="I22" i="11"/>
  <c r="I24" i="11" s="1"/>
  <c r="H22" i="11"/>
  <c r="H24" i="11" s="1"/>
  <c r="G22" i="11"/>
  <c r="F22" i="11"/>
  <c r="AN20" i="10"/>
  <c r="AN22" i="10" s="1"/>
  <c r="AM20" i="10"/>
  <c r="AM22" i="10" s="1"/>
  <c r="AL20" i="10"/>
  <c r="AL22" i="10" s="1"/>
  <c r="AK20" i="10"/>
  <c r="AK22" i="10" s="1"/>
  <c r="AJ20" i="10"/>
  <c r="AI20" i="10"/>
  <c r="AH20" i="10"/>
  <c r="AG20" i="10"/>
  <c r="AF22" i="10"/>
  <c r="AE22" i="10"/>
  <c r="AB20" i="10"/>
  <c r="AB22" i="10" s="1"/>
  <c r="AQ5" i="10" s="1"/>
  <c r="AA20" i="10"/>
  <c r="Z20" i="10"/>
  <c r="Y20" i="10"/>
  <c r="R20" i="10"/>
  <c r="Q20" i="10"/>
  <c r="Q22" i="10" s="1"/>
  <c r="P20" i="10"/>
  <c r="P22" i="10" s="1"/>
  <c r="O20" i="10"/>
  <c r="N20" i="10"/>
  <c r="M20" i="10"/>
  <c r="L20" i="10"/>
  <c r="K20" i="10"/>
  <c r="J20" i="10"/>
  <c r="I20" i="10"/>
  <c r="I22" i="10" s="1"/>
  <c r="H20" i="10"/>
  <c r="H22" i="10" s="1"/>
  <c r="G20" i="10"/>
  <c r="F20" i="10"/>
  <c r="AN19" i="9"/>
  <c r="AM19" i="9"/>
  <c r="AL19" i="9"/>
  <c r="AK19" i="9"/>
  <c r="AJ19" i="9"/>
  <c r="AI19" i="9"/>
  <c r="AH19" i="9"/>
  <c r="AG19" i="9"/>
  <c r="AF19" i="9"/>
  <c r="AE19" i="9"/>
  <c r="AD19" i="9"/>
  <c r="AC19" i="9"/>
  <c r="AB19" i="9"/>
  <c r="AQ5" i="9" s="1"/>
  <c r="AA19" i="9"/>
  <c r="AQ4" i="9" s="1"/>
  <c r="Z19" i="9"/>
  <c r="E9" i="15" s="1"/>
  <c r="Y19" i="9"/>
  <c r="D9" i="15" s="1"/>
  <c r="R19" i="9"/>
  <c r="R20" i="9" s="1"/>
  <c r="Q19" i="9"/>
  <c r="Q20" i="9" s="1"/>
  <c r="P19" i="9"/>
  <c r="I13" i="14" s="1"/>
  <c r="O19" i="9"/>
  <c r="O20" i="9" s="1"/>
  <c r="N19" i="9"/>
  <c r="N20" i="9" s="1"/>
  <c r="M19" i="9"/>
  <c r="M20" i="9" s="1"/>
  <c r="L19" i="9"/>
  <c r="L20" i="9" s="1"/>
  <c r="K19" i="9"/>
  <c r="K20" i="9" s="1"/>
  <c r="J19" i="9"/>
  <c r="J20" i="9" s="1"/>
  <c r="I19" i="9"/>
  <c r="I20" i="9" s="1"/>
  <c r="H19" i="9"/>
  <c r="E6" i="14" s="1"/>
  <c r="G19" i="9"/>
  <c r="I9" i="15" s="1"/>
  <c r="F19" i="9"/>
  <c r="F20" i="9" s="1"/>
  <c r="AN20" i="8"/>
  <c r="AM20" i="8"/>
  <c r="AM22" i="8" s="1"/>
  <c r="AL20" i="8"/>
  <c r="AK20" i="8"/>
  <c r="AK22" i="8" s="1"/>
  <c r="AJ20" i="8"/>
  <c r="AI20" i="8"/>
  <c r="AH20" i="8"/>
  <c r="AG20" i="8"/>
  <c r="AF20" i="8"/>
  <c r="AE20" i="8"/>
  <c r="AE22" i="8" s="1"/>
  <c r="AD20" i="8"/>
  <c r="AD22" i="8" s="1"/>
  <c r="AC20" i="8"/>
  <c r="AC22" i="8" s="1"/>
  <c r="AB20" i="8"/>
  <c r="AA20" i="8"/>
  <c r="AA22" i="8" s="1"/>
  <c r="AQ4" i="8" s="1"/>
  <c r="Z20" i="8"/>
  <c r="Y20" i="8"/>
  <c r="D15" i="15" s="1"/>
  <c r="R20" i="8"/>
  <c r="Q20" i="8"/>
  <c r="Q22" i="8" s="1"/>
  <c r="P20" i="8"/>
  <c r="P22" i="8" s="1"/>
  <c r="O20" i="8"/>
  <c r="O22" i="8" s="1"/>
  <c r="N20" i="8"/>
  <c r="M20" i="8"/>
  <c r="L20" i="8"/>
  <c r="K20" i="8"/>
  <c r="J20" i="8"/>
  <c r="I20" i="8"/>
  <c r="I22" i="8" s="1"/>
  <c r="H20" i="8"/>
  <c r="H22" i="8" s="1"/>
  <c r="G20" i="8"/>
  <c r="I29" i="15" s="1"/>
  <c r="F20" i="8"/>
  <c r="AN20" i="7"/>
  <c r="AN22" i="7" s="1"/>
  <c r="AM20" i="7"/>
  <c r="AM22" i="7" s="1"/>
  <c r="AL20" i="7"/>
  <c r="AL22" i="7" s="1"/>
  <c r="AK20" i="7"/>
  <c r="AK22" i="7" s="1"/>
  <c r="AJ20" i="7"/>
  <c r="AJ22" i="7" s="1"/>
  <c r="AI20" i="7"/>
  <c r="AI22" i="7" s="1"/>
  <c r="AH20" i="7"/>
  <c r="AH22" i="7" s="1"/>
  <c r="AG20" i="7"/>
  <c r="AF20" i="7"/>
  <c r="AE20" i="7"/>
  <c r="AD20" i="7"/>
  <c r="AC20" i="7"/>
  <c r="AB20" i="7"/>
  <c r="AA20" i="7"/>
  <c r="Z20" i="7"/>
  <c r="Y20" i="7"/>
  <c r="R20" i="7"/>
  <c r="Q20" i="7"/>
  <c r="Q22" i="7" s="1"/>
  <c r="P20" i="7"/>
  <c r="P22" i="7" s="1"/>
  <c r="O20" i="7"/>
  <c r="N20" i="7"/>
  <c r="M20" i="7"/>
  <c r="M22" i="7" s="1"/>
  <c r="L20" i="7"/>
  <c r="K20" i="7"/>
  <c r="J20" i="7"/>
  <c r="I20" i="7"/>
  <c r="I22" i="7" s="1"/>
  <c r="H20" i="7"/>
  <c r="G20" i="7"/>
  <c r="F20" i="7"/>
  <c r="AN23" i="6"/>
  <c r="AM23" i="6"/>
  <c r="AL23" i="6"/>
  <c r="AK23" i="6"/>
  <c r="AJ23" i="6"/>
  <c r="AI23" i="6"/>
  <c r="AH23" i="6"/>
  <c r="AG23" i="6"/>
  <c r="AF23" i="6"/>
  <c r="AE23" i="6"/>
  <c r="AD23" i="6"/>
  <c r="AC23" i="6"/>
  <c r="AB23" i="6"/>
  <c r="AA23" i="6"/>
  <c r="Z23" i="6"/>
  <c r="Y23" i="6"/>
  <c r="R23" i="6"/>
  <c r="O23" i="6"/>
  <c r="N23" i="6"/>
  <c r="M23" i="6"/>
  <c r="L23" i="6"/>
  <c r="K23" i="6"/>
  <c r="J23" i="6"/>
  <c r="G23" i="6"/>
  <c r="F23" i="6"/>
  <c r="AN22" i="6"/>
  <c r="AN24" i="6" s="1"/>
  <c r="AM22" i="6"/>
  <c r="AL22" i="6"/>
  <c r="AK22" i="6"/>
  <c r="AJ22" i="6"/>
  <c r="AJ24" i="6" s="1"/>
  <c r="AI22" i="6"/>
  <c r="AI24" i="6" s="1"/>
  <c r="AH22" i="6"/>
  <c r="AH24" i="6" s="1"/>
  <c r="AG22" i="6"/>
  <c r="AG24" i="6" s="1"/>
  <c r="AF22" i="6"/>
  <c r="AE22" i="6"/>
  <c r="AE24" i="6" s="1"/>
  <c r="AD22" i="6"/>
  <c r="AC22" i="6"/>
  <c r="AB22" i="6"/>
  <c r="AA22" i="6"/>
  <c r="Z22" i="6"/>
  <c r="Y22" i="6"/>
  <c r="R22" i="6"/>
  <c r="Q22" i="6"/>
  <c r="Q24" i="6" s="1"/>
  <c r="P22" i="6"/>
  <c r="P24" i="6" s="1"/>
  <c r="O22" i="6"/>
  <c r="O24" i="6" s="1"/>
  <c r="N22" i="6"/>
  <c r="M22" i="6"/>
  <c r="L22" i="6"/>
  <c r="K22" i="6"/>
  <c r="J22" i="6"/>
  <c r="I22" i="6"/>
  <c r="I24" i="6" s="1"/>
  <c r="H22" i="6"/>
  <c r="H24" i="6" s="1"/>
  <c r="G22" i="6"/>
  <c r="F22" i="6"/>
  <c r="AN19" i="5"/>
  <c r="AM19" i="5"/>
  <c r="AL19" i="5"/>
  <c r="AK19" i="5"/>
  <c r="AJ19" i="5"/>
  <c r="AI19" i="5"/>
  <c r="AH19" i="5"/>
  <c r="AG19" i="5"/>
  <c r="AF19" i="5"/>
  <c r="AE19" i="5"/>
  <c r="AD19" i="5"/>
  <c r="AC19" i="5"/>
  <c r="AB19" i="5"/>
  <c r="AA19" i="5"/>
  <c r="AQ4" i="5" s="1"/>
  <c r="Z19" i="5"/>
  <c r="AQ3" i="5" s="1"/>
  <c r="Y19" i="5"/>
  <c r="AQ2" i="5" s="1"/>
  <c r="R19" i="5"/>
  <c r="R20" i="5" s="1"/>
  <c r="Q19" i="5"/>
  <c r="Q20" i="5" s="1"/>
  <c r="P19" i="5"/>
  <c r="P20" i="5" s="1"/>
  <c r="O19" i="5"/>
  <c r="O20" i="5" s="1"/>
  <c r="N19" i="5"/>
  <c r="N20" i="5" s="1"/>
  <c r="M19" i="5"/>
  <c r="M20" i="5" s="1"/>
  <c r="L19" i="5"/>
  <c r="L20" i="5" s="1"/>
  <c r="K19" i="5"/>
  <c r="K20" i="5" s="1"/>
  <c r="J19" i="5"/>
  <c r="J20" i="5" s="1"/>
  <c r="I19" i="5"/>
  <c r="I20" i="5" s="1"/>
  <c r="H19" i="5"/>
  <c r="H20" i="5" s="1"/>
  <c r="G19" i="5"/>
  <c r="F19" i="5"/>
  <c r="F20" i="5" s="1"/>
  <c r="AN20" i="4"/>
  <c r="AN22" i="4" s="1"/>
  <c r="AM20" i="4"/>
  <c r="AM22" i="4" s="1"/>
  <c r="AL20" i="4"/>
  <c r="AL22" i="4" s="1"/>
  <c r="AK20" i="4"/>
  <c r="AK22" i="4" s="1"/>
  <c r="AJ20" i="4"/>
  <c r="AJ22" i="4" s="1"/>
  <c r="AI20" i="4"/>
  <c r="AI22" i="4" s="1"/>
  <c r="AH20" i="4"/>
  <c r="AH22" i="4" s="1"/>
  <c r="AG20" i="4"/>
  <c r="AG22" i="4" s="1"/>
  <c r="AF20" i="4"/>
  <c r="AE20" i="4"/>
  <c r="AD20" i="4"/>
  <c r="AC20" i="4"/>
  <c r="AB20" i="4"/>
  <c r="AA20" i="4"/>
  <c r="Z20" i="4"/>
  <c r="Y20" i="4"/>
  <c r="R20" i="4"/>
  <c r="Q20" i="4"/>
  <c r="Q22" i="4" s="1"/>
  <c r="P20" i="4"/>
  <c r="P22" i="4" s="1"/>
  <c r="O20" i="4"/>
  <c r="N20" i="4"/>
  <c r="M20" i="4"/>
  <c r="L20" i="4"/>
  <c r="K20" i="4"/>
  <c r="K22" i="4" s="1"/>
  <c r="J20" i="4"/>
  <c r="J22" i="4" s="1"/>
  <c r="AQ8" i="4" s="1"/>
  <c r="I20" i="4"/>
  <c r="I22" i="4" s="1"/>
  <c r="H20" i="4"/>
  <c r="H22" i="4" s="1"/>
  <c r="G20" i="4"/>
  <c r="G22" i="4" s="1"/>
  <c r="AQ7" i="4" s="1"/>
  <c r="F20" i="4"/>
  <c r="AN21" i="3"/>
  <c r="AN23" i="3" s="1"/>
  <c r="AM21" i="3"/>
  <c r="AM23" i="3" s="1"/>
  <c r="AL21" i="3"/>
  <c r="AK21" i="3"/>
  <c r="AK23" i="3" s="1"/>
  <c r="AJ21" i="3"/>
  <c r="AI21" i="3"/>
  <c r="AH21" i="3"/>
  <c r="AG21" i="3"/>
  <c r="AF21" i="3"/>
  <c r="AF23" i="3" s="1"/>
  <c r="AE21" i="3"/>
  <c r="AE23" i="3" s="1"/>
  <c r="AD21" i="3"/>
  <c r="AC21" i="3"/>
  <c r="AC23" i="3" s="1"/>
  <c r="AB21" i="3"/>
  <c r="G7" i="15" s="1"/>
  <c r="AA21" i="3"/>
  <c r="F7" i="15" s="1"/>
  <c r="Z21" i="3"/>
  <c r="E7" i="15" s="1"/>
  <c r="Y21" i="3"/>
  <c r="D7" i="15" s="1"/>
  <c r="R21" i="3"/>
  <c r="Q21" i="3"/>
  <c r="Q23" i="3" s="1"/>
  <c r="P21" i="3"/>
  <c r="P23" i="3" s="1"/>
  <c r="O21" i="3"/>
  <c r="O23" i="3" s="1"/>
  <c r="N21" i="3"/>
  <c r="M21" i="3"/>
  <c r="L21" i="3"/>
  <c r="K21" i="3"/>
  <c r="J21" i="3"/>
  <c r="I21" i="3"/>
  <c r="I23" i="3" s="1"/>
  <c r="H21" i="3"/>
  <c r="G21" i="3"/>
  <c r="I7" i="15" s="1"/>
  <c r="F21" i="3"/>
  <c r="H7" i="15" s="1"/>
  <c r="AN21" i="2"/>
  <c r="AN23" i="2" s="1"/>
  <c r="AM21" i="2"/>
  <c r="AM23" i="2" s="1"/>
  <c r="AL21" i="2"/>
  <c r="AL23" i="2" s="1"/>
  <c r="AK21" i="2"/>
  <c r="AK23" i="2" s="1"/>
  <c r="AJ21" i="2"/>
  <c r="AI21" i="2"/>
  <c r="AH21" i="2"/>
  <c r="AG21" i="2"/>
  <c r="AF21" i="2"/>
  <c r="AE21" i="2"/>
  <c r="AE23" i="2" s="1"/>
  <c r="AD21" i="2"/>
  <c r="AD23" i="2" s="1"/>
  <c r="AC21" i="2"/>
  <c r="AC23" i="2" s="1"/>
  <c r="AB21" i="2"/>
  <c r="AA21" i="2"/>
  <c r="Z21" i="2"/>
  <c r="Y21" i="2"/>
  <c r="R21" i="2"/>
  <c r="Q21" i="2"/>
  <c r="Q23" i="2" s="1"/>
  <c r="P21" i="2"/>
  <c r="P23" i="2" s="1"/>
  <c r="O21" i="2"/>
  <c r="N21" i="2"/>
  <c r="M21" i="2"/>
  <c r="L21" i="2"/>
  <c r="K21" i="2"/>
  <c r="J21" i="2"/>
  <c r="I21" i="2"/>
  <c r="I23" i="2" s="1"/>
  <c r="H21" i="2"/>
  <c r="H23" i="2" s="1"/>
  <c r="G21" i="2"/>
  <c r="F21" i="2"/>
  <c r="Z19" i="1"/>
  <c r="E17" i="15" s="1"/>
  <c r="AA19" i="1"/>
  <c r="F17" i="15" s="1"/>
  <c r="AB19" i="1"/>
  <c r="G33" i="15" s="1"/>
  <c r="AC19" i="1"/>
  <c r="AD19" i="1"/>
  <c r="AE19" i="1"/>
  <c r="AF19" i="1"/>
  <c r="AG19" i="1"/>
  <c r="AH19" i="1"/>
  <c r="AI19" i="1"/>
  <c r="AJ19" i="1"/>
  <c r="AK19" i="1"/>
  <c r="AL19" i="1"/>
  <c r="AM19" i="1"/>
  <c r="AN19" i="1"/>
  <c r="Y19" i="1"/>
  <c r="D17" i="15" s="1"/>
  <c r="G19" i="1"/>
  <c r="I17" i="15" s="1"/>
  <c r="H19" i="1"/>
  <c r="I19" i="1"/>
  <c r="J19" i="1"/>
  <c r="C13" i="14" s="1"/>
  <c r="K19" i="1"/>
  <c r="L19" i="1"/>
  <c r="M19" i="1"/>
  <c r="N19" i="1"/>
  <c r="B5" i="16" s="1"/>
  <c r="O19" i="1"/>
  <c r="D5" i="16" s="1"/>
  <c r="P19" i="1"/>
  <c r="Q19" i="1"/>
  <c r="R19" i="1"/>
  <c r="G14" i="14" s="1"/>
  <c r="F19" i="1"/>
  <c r="H17" i="15" s="1"/>
  <c r="AM24" i="6" l="1"/>
  <c r="AL24" i="6"/>
  <c r="AK24" i="6"/>
  <c r="Y24" i="6"/>
  <c r="AQ2" i="6" s="1"/>
  <c r="AM24" i="11"/>
  <c r="AL24" i="11"/>
  <c r="AK24" i="11"/>
  <c r="M23" i="3"/>
  <c r="L23" i="3"/>
  <c r="K24" i="11"/>
  <c r="AF23" i="2"/>
  <c r="AA24" i="6"/>
  <c r="AQ4" i="6" s="1"/>
  <c r="Z24" i="6"/>
  <c r="AQ3" i="6" s="1"/>
  <c r="AD23" i="3"/>
  <c r="AL23" i="3"/>
  <c r="AJ22" i="10"/>
  <c r="AI22" i="10"/>
  <c r="AH22" i="10"/>
  <c r="AG22" i="10"/>
  <c r="AA22" i="10"/>
  <c r="AQ4" i="10" s="1"/>
  <c r="Z22" i="10"/>
  <c r="AQ3" i="10" s="1"/>
  <c r="Y22" i="10"/>
  <c r="AQ2" i="10" s="1"/>
  <c r="R22" i="10"/>
  <c r="AQ9" i="10" s="1"/>
  <c r="O22" i="10"/>
  <c r="N22" i="10"/>
  <c r="M22" i="10"/>
  <c r="L22" i="10"/>
  <c r="K22" i="10"/>
  <c r="J22" i="10"/>
  <c r="AQ8" i="10" s="1"/>
  <c r="G22" i="10"/>
  <c r="AQ7" i="10" s="1"/>
  <c r="F22" i="10"/>
  <c r="AQ6" i="10" s="1"/>
  <c r="AF24" i="11"/>
  <c r="AE24" i="11"/>
  <c r="AD24" i="11"/>
  <c r="AC24" i="11"/>
  <c r="AA24" i="11"/>
  <c r="AQ4" i="11" s="1"/>
  <c r="Z24" i="11"/>
  <c r="AQ3" i="11" s="1"/>
  <c r="Y24" i="11"/>
  <c r="AQ2" i="11" s="1"/>
  <c r="R24" i="11"/>
  <c r="AQ9" i="11" s="1"/>
  <c r="O24" i="11"/>
  <c r="N24" i="11"/>
  <c r="B8" i="16" s="1"/>
  <c r="M24" i="11"/>
  <c r="L24" i="11"/>
  <c r="J24" i="11"/>
  <c r="AQ8" i="11" s="1"/>
  <c r="G24" i="11"/>
  <c r="AQ7" i="11" s="1"/>
  <c r="F24" i="11"/>
  <c r="AQ6" i="11" s="1"/>
  <c r="AJ23" i="2"/>
  <c r="AI23" i="2"/>
  <c r="AH23" i="2"/>
  <c r="AG23" i="2"/>
  <c r="AB23" i="2"/>
  <c r="AQ5" i="2" s="1"/>
  <c r="AA23" i="2"/>
  <c r="AQ4" i="2" s="1"/>
  <c r="Z23" i="2"/>
  <c r="AQ3" i="2" s="1"/>
  <c r="Y23" i="2"/>
  <c r="AQ2" i="2" s="1"/>
  <c r="R23" i="2"/>
  <c r="AQ9" i="2" s="1"/>
  <c r="O23" i="2"/>
  <c r="N23" i="2"/>
  <c r="M23" i="2"/>
  <c r="L23" i="2"/>
  <c r="K23" i="2"/>
  <c r="J23" i="2"/>
  <c r="AQ8" i="2" s="1"/>
  <c r="G23" i="2"/>
  <c r="AQ7" i="2" s="1"/>
  <c r="F23" i="2"/>
  <c r="AQ6" i="2" s="1"/>
  <c r="AG22" i="7"/>
  <c r="AF22" i="7"/>
  <c r="AE22" i="7"/>
  <c r="AD22" i="7"/>
  <c r="AC22" i="7"/>
  <c r="R22" i="7"/>
  <c r="AQ9" i="7" s="1"/>
  <c r="O22" i="7"/>
  <c r="N22" i="7"/>
  <c r="L22" i="7"/>
  <c r="K22" i="7"/>
  <c r="J22" i="7"/>
  <c r="AQ8" i="7" s="1"/>
  <c r="AJ23" i="3"/>
  <c r="AI23" i="3"/>
  <c r="AH23" i="3"/>
  <c r="AG23" i="3"/>
  <c r="R23" i="3"/>
  <c r="AQ9" i="3" s="1"/>
  <c r="N23" i="3"/>
  <c r="B13" i="16" s="1"/>
  <c r="K23" i="3"/>
  <c r="J23" i="3"/>
  <c r="AQ8" i="3" s="1"/>
  <c r="AF22" i="4"/>
  <c r="AE22" i="4"/>
  <c r="AD22" i="4"/>
  <c r="AC22" i="4"/>
  <c r="AB22" i="4"/>
  <c r="AQ5" i="4" s="1"/>
  <c r="AA22" i="4"/>
  <c r="AQ4" i="4" s="1"/>
  <c r="Z22" i="4"/>
  <c r="AQ3" i="4" s="1"/>
  <c r="Y22" i="4"/>
  <c r="AQ2" i="4" s="1"/>
  <c r="R22" i="4"/>
  <c r="AQ9" i="4" s="1"/>
  <c r="O22" i="4"/>
  <c r="N22" i="4"/>
  <c r="M22" i="4"/>
  <c r="L22" i="4"/>
  <c r="F22" i="4"/>
  <c r="AQ6" i="4" s="1"/>
  <c r="AL22" i="8"/>
  <c r="AF22" i="8"/>
  <c r="AJ22" i="8"/>
  <c r="AN22" i="8"/>
  <c r="AI22" i="8"/>
  <c r="AH22" i="8"/>
  <c r="AG22" i="8"/>
  <c r="AB22" i="8"/>
  <c r="AQ5" i="8" s="1"/>
  <c r="Z22" i="8"/>
  <c r="AQ3" i="8" s="1"/>
  <c r="R22" i="8"/>
  <c r="AQ9" i="8" s="1"/>
  <c r="N22" i="8"/>
  <c r="M22" i="8"/>
  <c r="L22" i="8"/>
  <c r="K22" i="8"/>
  <c r="J22" i="8"/>
  <c r="AQ8" i="8" s="1"/>
  <c r="F22" i="8"/>
  <c r="AQ6" i="8" s="1"/>
  <c r="AF24" i="6"/>
  <c r="AD24" i="6"/>
  <c r="AC24" i="6"/>
  <c r="AB24" i="6"/>
  <c r="AQ5" i="6" s="1"/>
  <c r="R24" i="6"/>
  <c r="AQ9" i="6" s="1"/>
  <c r="N24" i="6"/>
  <c r="M24" i="6"/>
  <c r="L24" i="6"/>
  <c r="K24" i="6"/>
  <c r="J24" i="6"/>
  <c r="AQ8" i="6" s="1"/>
  <c r="G24" i="6"/>
  <c r="AQ7" i="6" s="1"/>
  <c r="F24" i="6"/>
  <c r="AQ6" i="6" s="1"/>
  <c r="AQ5" i="12"/>
  <c r="AQ8" i="12"/>
  <c r="AQ9" i="12"/>
  <c r="F20" i="12"/>
  <c r="AQ6" i="12" s="1"/>
  <c r="G20" i="12"/>
  <c r="AQ7" i="12" s="1"/>
  <c r="P20" i="9"/>
  <c r="H20" i="9"/>
  <c r="G20" i="9"/>
  <c r="AQ7" i="9" s="1"/>
  <c r="AQ8" i="9"/>
  <c r="AQ9" i="9"/>
  <c r="AQ6" i="9"/>
  <c r="AQ8" i="5"/>
  <c r="AQ9" i="5"/>
  <c r="AQ5" i="5"/>
  <c r="AQ7" i="5"/>
  <c r="G20" i="5"/>
  <c r="AQ6" i="5"/>
  <c r="F20" i="1"/>
  <c r="K7" i="15"/>
  <c r="L7" i="15" s="1"/>
  <c r="J7" i="15"/>
  <c r="AB22" i="7"/>
  <c r="AQ5" i="7" s="1"/>
  <c r="G13" i="15"/>
  <c r="AA22" i="7"/>
  <c r="AQ4" i="7" s="1"/>
  <c r="F13" i="15"/>
  <c r="Z22" i="7"/>
  <c r="AQ3" i="7" s="1"/>
  <c r="E13" i="15"/>
  <c r="Y22" i="7"/>
  <c r="AQ2" i="7" s="1"/>
  <c r="D13" i="15"/>
  <c r="H22" i="7"/>
  <c r="K13" i="15"/>
  <c r="G22" i="7"/>
  <c r="AQ7" i="7" s="1"/>
  <c r="I13" i="15"/>
  <c r="F22" i="7"/>
  <c r="AQ6" i="7" s="1"/>
  <c r="H13" i="15"/>
  <c r="AB23" i="3"/>
  <c r="AQ5" i="3" s="1"/>
  <c r="G28" i="15"/>
  <c r="AA23" i="3"/>
  <c r="AQ4" i="3" s="1"/>
  <c r="F28" i="15"/>
  <c r="Z23" i="3"/>
  <c r="AQ3" i="3" s="1"/>
  <c r="E28" i="15"/>
  <c r="Y23" i="3"/>
  <c r="AQ2" i="3" s="1"/>
  <c r="D28" i="15"/>
  <c r="H23" i="3"/>
  <c r="K28" i="15"/>
  <c r="G23" i="3"/>
  <c r="AQ7" i="3" s="1"/>
  <c r="I28" i="15"/>
  <c r="F23" i="3"/>
  <c r="AQ6" i="3" s="1"/>
  <c r="H28" i="15"/>
  <c r="H30" i="15"/>
  <c r="I9" i="14"/>
  <c r="D13" i="16"/>
  <c r="AQ6" i="1"/>
  <c r="F30" i="15"/>
  <c r="P14" i="16"/>
  <c r="P30" i="16"/>
  <c r="P26" i="16"/>
  <c r="P31" i="16"/>
  <c r="Q33" i="16"/>
  <c r="P25" i="16"/>
  <c r="Q29" i="16"/>
  <c r="Q27" i="16"/>
  <c r="H32" i="15"/>
  <c r="C11" i="14"/>
  <c r="C3" i="14"/>
  <c r="E14" i="14"/>
  <c r="D8" i="16"/>
  <c r="C7" i="14"/>
  <c r="F27" i="15"/>
  <c r="E27" i="15"/>
  <c r="F8" i="15"/>
  <c r="AQ4" i="1"/>
  <c r="D11" i="16"/>
  <c r="H15" i="15"/>
  <c r="H12" i="15"/>
  <c r="Q24" i="16"/>
  <c r="G11" i="14"/>
  <c r="I12" i="14"/>
  <c r="E4" i="14"/>
  <c r="G9" i="15"/>
  <c r="G32" i="15"/>
  <c r="F32" i="15"/>
  <c r="F9" i="15"/>
  <c r="E32" i="15"/>
  <c r="AQ3" i="9"/>
  <c r="AQ2" i="9"/>
  <c r="D32" i="15"/>
  <c r="G13" i="14"/>
  <c r="D14" i="16"/>
  <c r="B14" i="16"/>
  <c r="C10" i="14"/>
  <c r="K32" i="15"/>
  <c r="K9" i="15"/>
  <c r="I32" i="15"/>
  <c r="H9" i="15"/>
  <c r="J9" i="15" s="1"/>
  <c r="P23" i="16"/>
  <c r="G14" i="15"/>
  <c r="G27" i="15"/>
  <c r="F14" i="15"/>
  <c r="E14" i="15"/>
  <c r="D14" i="15"/>
  <c r="D27" i="15"/>
  <c r="G9" i="14"/>
  <c r="I8" i="14"/>
  <c r="D3" i="16"/>
  <c r="B3" i="16"/>
  <c r="C6" i="14"/>
  <c r="K14" i="15"/>
  <c r="E10" i="14"/>
  <c r="K27" i="15"/>
  <c r="I27" i="15"/>
  <c r="I14" i="15"/>
  <c r="H27" i="15"/>
  <c r="H14" i="15"/>
  <c r="G31" i="15"/>
  <c r="G16" i="15"/>
  <c r="F16" i="15"/>
  <c r="F31" i="15"/>
  <c r="E31" i="15"/>
  <c r="E16" i="15"/>
  <c r="D16" i="15"/>
  <c r="D31" i="15"/>
  <c r="G8" i="14"/>
  <c r="I6" i="14"/>
  <c r="D10" i="16"/>
  <c r="B10" i="16"/>
  <c r="C14" i="14"/>
  <c r="K16" i="15"/>
  <c r="K31" i="15"/>
  <c r="I31" i="15"/>
  <c r="I16" i="15"/>
  <c r="H16" i="15"/>
  <c r="H31" i="15"/>
  <c r="Q32" i="16"/>
  <c r="G6" i="15"/>
  <c r="G25" i="15"/>
  <c r="F6" i="15"/>
  <c r="F25" i="15"/>
  <c r="E25" i="15"/>
  <c r="E6" i="15"/>
  <c r="D6" i="15"/>
  <c r="D25" i="15"/>
  <c r="G3" i="14"/>
  <c r="I3" i="14"/>
  <c r="D12" i="16"/>
  <c r="K6" i="15"/>
  <c r="E9" i="14"/>
  <c r="K25" i="15"/>
  <c r="I6" i="15"/>
  <c r="I25" i="15"/>
  <c r="H6" i="15"/>
  <c r="H25" i="15"/>
  <c r="G23" i="15"/>
  <c r="G5" i="15"/>
  <c r="F5" i="15"/>
  <c r="F23" i="15"/>
  <c r="E5" i="15"/>
  <c r="E23" i="15"/>
  <c r="D5" i="15"/>
  <c r="D23" i="15"/>
  <c r="G7" i="14"/>
  <c r="K5" i="15"/>
  <c r="E5" i="14"/>
  <c r="K23" i="15"/>
  <c r="I23" i="15"/>
  <c r="I5" i="15"/>
  <c r="H23" i="15"/>
  <c r="H5" i="15"/>
  <c r="G30" i="15"/>
  <c r="G8" i="15"/>
  <c r="E30" i="15"/>
  <c r="E8" i="15"/>
  <c r="D8" i="15"/>
  <c r="D30" i="15"/>
  <c r="G12" i="14"/>
  <c r="I10" i="14"/>
  <c r="D9" i="16"/>
  <c r="B9" i="16"/>
  <c r="C8" i="14"/>
  <c r="E11" i="14"/>
  <c r="K30" i="15"/>
  <c r="K8" i="15"/>
  <c r="I30" i="15"/>
  <c r="I8" i="15"/>
  <c r="H8" i="15"/>
  <c r="G22" i="15"/>
  <c r="G4" i="15"/>
  <c r="F22" i="15"/>
  <c r="F4" i="15"/>
  <c r="E22" i="15"/>
  <c r="E4" i="15"/>
  <c r="D22" i="15"/>
  <c r="D4" i="15"/>
  <c r="G5" i="14"/>
  <c r="I5" i="14"/>
  <c r="D6" i="16"/>
  <c r="C4" i="14"/>
  <c r="E3" i="14"/>
  <c r="K22" i="15"/>
  <c r="K4" i="15"/>
  <c r="I4" i="15"/>
  <c r="I22" i="15"/>
  <c r="H22" i="15"/>
  <c r="H4" i="15"/>
  <c r="Q28" i="16"/>
  <c r="G15" i="15"/>
  <c r="G29" i="15"/>
  <c r="F29" i="15"/>
  <c r="F15" i="15"/>
  <c r="E29" i="15"/>
  <c r="E15" i="15"/>
  <c r="D29" i="15"/>
  <c r="Y22" i="8"/>
  <c r="AQ2" i="8" s="1"/>
  <c r="G10" i="14"/>
  <c r="I11" i="14"/>
  <c r="D7" i="16"/>
  <c r="B7" i="16"/>
  <c r="C12" i="14"/>
  <c r="E13" i="14"/>
  <c r="K29" i="15"/>
  <c r="K15" i="15"/>
  <c r="I15" i="15"/>
  <c r="G22" i="8"/>
  <c r="AQ7" i="8" s="1"/>
  <c r="H29" i="15"/>
  <c r="J29" i="15" s="1"/>
  <c r="G26" i="15"/>
  <c r="F26" i="15"/>
  <c r="E26" i="15"/>
  <c r="D26" i="15"/>
  <c r="G6" i="14"/>
  <c r="I7" i="14"/>
  <c r="C9" i="14"/>
  <c r="K26" i="15"/>
  <c r="E8" i="14"/>
  <c r="I26" i="15"/>
  <c r="H26" i="15"/>
  <c r="P22" i="16"/>
  <c r="O16" i="16"/>
  <c r="G12" i="15"/>
  <c r="G24" i="15"/>
  <c r="F24" i="15"/>
  <c r="F12" i="15"/>
  <c r="E12" i="15"/>
  <c r="E24" i="15"/>
  <c r="D12" i="15"/>
  <c r="D24" i="15"/>
  <c r="G4" i="14"/>
  <c r="I4" i="14"/>
  <c r="D4" i="16"/>
  <c r="B4" i="16"/>
  <c r="C5" i="14"/>
  <c r="K24" i="15"/>
  <c r="E7" i="14"/>
  <c r="K12" i="15"/>
  <c r="I12" i="15"/>
  <c r="I24" i="15"/>
  <c r="H24" i="15"/>
  <c r="G17" i="15"/>
  <c r="AQ5" i="1"/>
  <c r="F33" i="15"/>
  <c r="E33" i="15"/>
  <c r="D33" i="15"/>
  <c r="AQ9" i="1"/>
  <c r="I14" i="14"/>
  <c r="K17" i="15"/>
  <c r="L17" i="15" s="1"/>
  <c r="E12" i="14"/>
  <c r="K33" i="15"/>
  <c r="I33" i="15"/>
  <c r="J17" i="15"/>
  <c r="H33" i="15"/>
  <c r="Q10" i="16"/>
  <c r="F5" i="16"/>
  <c r="Q6" i="16"/>
  <c r="O34" i="16"/>
  <c r="P34" i="16" s="1"/>
  <c r="P5" i="16"/>
  <c r="P7" i="16"/>
  <c r="P9" i="16"/>
  <c r="P11" i="16"/>
  <c r="P13" i="16"/>
  <c r="P15" i="16"/>
  <c r="P4" i="16"/>
  <c r="P8" i="16"/>
  <c r="P12" i="16"/>
  <c r="G127" i="13"/>
  <c r="AQ7" i="1"/>
  <c r="AQ2" i="1"/>
  <c r="AQ8" i="1"/>
  <c r="AQ3" i="1"/>
  <c r="L28" i="15" l="1"/>
  <c r="J13" i="15"/>
  <c r="L13" i="15"/>
  <c r="J28" i="15"/>
  <c r="F13" i="16"/>
  <c r="Q16" i="16"/>
  <c r="P16" i="16"/>
  <c r="J32" i="15"/>
  <c r="F7" i="16"/>
  <c r="J15" i="15"/>
  <c r="D15" i="16"/>
  <c r="B15" i="16"/>
  <c r="F11" i="16"/>
  <c r="F6" i="16"/>
  <c r="F8" i="16"/>
  <c r="F10" i="16"/>
  <c r="L27" i="15"/>
  <c r="J30" i="15"/>
  <c r="L30" i="15"/>
  <c r="F14" i="16"/>
  <c r="J25" i="15"/>
  <c r="J23" i="15"/>
  <c r="F4" i="16"/>
  <c r="J12" i="15"/>
  <c r="E16" i="14"/>
  <c r="L23" i="15"/>
  <c r="J8" i="15"/>
  <c r="J16" i="15"/>
  <c r="J26" i="15"/>
  <c r="J33" i="15"/>
  <c r="L26" i="15"/>
  <c r="J6" i="15"/>
  <c r="J24" i="15"/>
  <c r="L14" i="15"/>
  <c r="L4" i="15"/>
  <c r="J27" i="15"/>
  <c r="L16" i="15"/>
  <c r="J31" i="15"/>
  <c r="L24" i="15"/>
  <c r="L5" i="15"/>
  <c r="L32" i="15"/>
  <c r="L9" i="15"/>
  <c r="F3" i="16"/>
  <c r="J14" i="15"/>
  <c r="L31" i="15"/>
  <c r="L6" i="15"/>
  <c r="L25" i="15"/>
  <c r="F12" i="16"/>
  <c r="J5" i="15"/>
  <c r="L8" i="15"/>
  <c r="F9" i="16"/>
  <c r="L22" i="15"/>
  <c r="C16" i="14"/>
  <c r="J4" i="15"/>
  <c r="J22" i="15"/>
  <c r="L15" i="15"/>
  <c r="L29" i="15"/>
  <c r="G16" i="14"/>
  <c r="I16" i="14"/>
  <c r="Q34" i="16"/>
  <c r="L12" i="15"/>
  <c r="L33" i="15"/>
</calcChain>
</file>

<file path=xl/sharedStrings.xml><?xml version="1.0" encoding="utf-8"?>
<sst xmlns="http://schemas.openxmlformats.org/spreadsheetml/2006/main" count="3727" uniqueCount="516">
  <si>
    <t>Result</t>
  </si>
  <si>
    <t>Bonus</t>
  </si>
  <si>
    <t>Scores</t>
  </si>
  <si>
    <t>Cards</t>
  </si>
  <si>
    <t>Conceded</t>
  </si>
  <si>
    <t>Att</t>
  </si>
  <si>
    <t>HT</t>
  </si>
  <si>
    <t>Referee</t>
  </si>
  <si>
    <t>TMO</t>
  </si>
  <si>
    <t>AR1</t>
  </si>
  <si>
    <t>AR2</t>
  </si>
  <si>
    <t>OVERALL</t>
  </si>
  <si>
    <t xml:space="preserve">HOME </t>
  </si>
  <si>
    <t>AWAY</t>
  </si>
  <si>
    <t>NEUTRAL</t>
  </si>
  <si>
    <t>Date</t>
  </si>
  <si>
    <t>Cmp</t>
  </si>
  <si>
    <t>Opponents</t>
  </si>
  <si>
    <t>Gd</t>
  </si>
  <si>
    <t>R</t>
  </si>
  <si>
    <t>F</t>
  </si>
  <si>
    <t>A</t>
  </si>
  <si>
    <t>TB</t>
  </si>
  <si>
    <t>LB</t>
  </si>
  <si>
    <t>T</t>
  </si>
  <si>
    <t>C</t>
  </si>
  <si>
    <t>D</t>
  </si>
  <si>
    <t>P</t>
  </si>
  <si>
    <t>Y</t>
  </si>
  <si>
    <t>PL</t>
  </si>
  <si>
    <t>W</t>
  </si>
  <si>
    <t>L</t>
  </si>
  <si>
    <t>Mr 2</t>
  </si>
  <si>
    <t>Mr 23</t>
  </si>
  <si>
    <t>Mr 30</t>
  </si>
  <si>
    <t>Ap 20</t>
  </si>
  <si>
    <t>My 11</t>
  </si>
  <si>
    <t>Jn 15</t>
  </si>
  <si>
    <t>Jn 22</t>
  </si>
  <si>
    <t>ANTHEM 2024</t>
  </si>
  <si>
    <t>MLR (REG)</t>
  </si>
  <si>
    <t>MLR (PO)</t>
  </si>
  <si>
    <t>MLR (TOTALS)</t>
  </si>
  <si>
    <t>MLRF</t>
  </si>
  <si>
    <t>MLR</t>
  </si>
  <si>
    <t>Mr 4</t>
  </si>
  <si>
    <t>New England</t>
  </si>
  <si>
    <t>H</t>
  </si>
  <si>
    <t>Mr 9</t>
  </si>
  <si>
    <t>NOLA Gold</t>
  </si>
  <si>
    <t>Mr 17</t>
  </si>
  <si>
    <t>Dallas</t>
  </si>
  <si>
    <t>Miami</t>
  </si>
  <si>
    <t>Old Glory</t>
  </si>
  <si>
    <t>Ap 6</t>
  </si>
  <si>
    <t>Utah</t>
  </si>
  <si>
    <t>Ap 14</t>
  </si>
  <si>
    <t>Chicago</t>
  </si>
  <si>
    <t>Ap 27</t>
  </si>
  <si>
    <t>My 4</t>
  </si>
  <si>
    <t>Seattle</t>
  </si>
  <si>
    <t>Houston</t>
  </si>
  <si>
    <t>My 19</t>
  </si>
  <si>
    <t>Los Angeles</t>
  </si>
  <si>
    <t>Jn 2</t>
  </si>
  <si>
    <t>Jn 9</t>
  </si>
  <si>
    <t>San Diego</t>
  </si>
  <si>
    <t>Jn 17</t>
  </si>
  <si>
    <t>Jn 23</t>
  </si>
  <si>
    <t>Jn 29</t>
  </si>
  <si>
    <t>CHICAGO 2024</t>
  </si>
  <si>
    <t>DALLAS 2024</t>
  </si>
  <si>
    <t>HOUSTON 2024</t>
  </si>
  <si>
    <t>MIAMI 2024</t>
  </si>
  <si>
    <t>NEW ENGLAND 2024</t>
  </si>
  <si>
    <t>NOLA GOLD 2024</t>
  </si>
  <si>
    <t>OLD GLORY 2024</t>
  </si>
  <si>
    <t>LOS ANGELES 2024</t>
  </si>
  <si>
    <t>SAN DIEGO 2024</t>
  </si>
  <si>
    <t>SEATTLE 2024</t>
  </si>
  <si>
    <t>UTAH 2024</t>
  </si>
  <si>
    <t>Mr 16</t>
  </si>
  <si>
    <t>Mr 24</t>
  </si>
  <si>
    <t>Anthem</t>
  </si>
  <si>
    <t>Ap 21</t>
  </si>
  <si>
    <t>My 5</t>
  </si>
  <si>
    <t>My 26</t>
  </si>
  <si>
    <t>Jn 10</t>
  </si>
  <si>
    <t>Jn 16</t>
  </si>
  <si>
    <t>Jn 30</t>
  </si>
  <si>
    <t>Mr 3</t>
  </si>
  <si>
    <t>Mr 10</t>
  </si>
  <si>
    <t>Ap 13</t>
  </si>
  <si>
    <t>Ap 28</t>
  </si>
  <si>
    <t>My 20</t>
  </si>
  <si>
    <t>Jn 1</t>
  </si>
  <si>
    <t>Ap 1</t>
  </si>
  <si>
    <t>My 12</t>
  </si>
  <si>
    <t>My 18</t>
  </si>
  <si>
    <t>My 25</t>
  </si>
  <si>
    <t>Home</t>
  </si>
  <si>
    <t>Away</t>
  </si>
  <si>
    <t>Lg Pts</t>
  </si>
  <si>
    <t>Venue</t>
  </si>
  <si>
    <t>1st</t>
  </si>
  <si>
    <t>2nd</t>
  </si>
  <si>
    <t>Most Points</t>
  </si>
  <si>
    <t>Final</t>
  </si>
  <si>
    <t>The Gold Mine, New Orleans</t>
  </si>
  <si>
    <t>SaberCats Stadium, Houston</t>
  </si>
  <si>
    <t>Starfire Sports Complex, Tukwila</t>
  </si>
  <si>
    <t>DRV PNK Stadium, Fort Lauderdale</t>
  </si>
  <si>
    <t>American Legion Memorial Stadium, Charlotte</t>
  </si>
  <si>
    <t>Dignity Health Sports Park, Carson</t>
  </si>
  <si>
    <t>Veterans Memorial Stadium, Quincy</t>
  </si>
  <si>
    <t>Zions Bank Stadium, Herriman</t>
  </si>
  <si>
    <t>Choctaw Stadium, Arlington</t>
  </si>
  <si>
    <t>Maryland Soccerplex, Germantown</t>
  </si>
  <si>
    <t>Snapdragon Stadium, San Diego</t>
  </si>
  <si>
    <t>SeatGeek Stadium, Bridgeview</t>
  </si>
  <si>
    <t>Tries Scored</t>
  </si>
  <si>
    <t>Try Bonus Points</t>
  </si>
  <si>
    <t>Tries Conceded</t>
  </si>
  <si>
    <t>Try Bonus Conceded</t>
  </si>
  <si>
    <t>TOTAL</t>
  </si>
  <si>
    <t>Pos</t>
  </si>
  <si>
    <t>Chg</t>
  </si>
  <si>
    <t>P DIFF</t>
  </si>
  <si>
    <t>BP</t>
  </si>
  <si>
    <t>PTS</t>
  </si>
  <si>
    <t>→</t>
  </si>
  <si>
    <t>MAJOR LEAGUE RUGBY</t>
  </si>
  <si>
    <t>Table points are determined by the standard rugby union point system:</t>
  </si>
  <si>
    <t>4 points for winning a match</t>
  </si>
  <si>
    <t>2 points for drawing a match</t>
  </si>
  <si>
    <t>0 points for losing a match</t>
  </si>
  <si>
    <t>1 losing point for losing by 7 points or fewer</t>
  </si>
  <si>
    <t>1 try bonus point for scoring 4 tries or more</t>
  </si>
  <si>
    <t>In the event of two or more teams being equal on competition points for any position either during or at the</t>
  </si>
  <si>
    <t>end of the season, such position will be decided upon using the following steps until the tie is broken:</t>
  </si>
  <si>
    <t>a) Most wins from all matches;</t>
  </si>
  <si>
    <t>b) Highest aggregate points difference from all matches;</t>
  </si>
  <si>
    <t>c) Most tries from all matches;</t>
  </si>
  <si>
    <t>d) The Highest aggregate difference of total tries versus tries scored against from all matches;</t>
  </si>
  <si>
    <t>e) Superior head-to-head record;</t>
  </si>
  <si>
    <t>f) Coin toss</t>
  </si>
  <si>
    <t>*) Clinched Playoff Berth</t>
  </si>
  <si>
    <t>Yellow Cards</t>
  </si>
  <si>
    <t>Red Cards</t>
  </si>
  <si>
    <t>TOTALS</t>
  </si>
  <si>
    <t>MLR CARDS 2024</t>
  </si>
  <si>
    <t>"Pts"</t>
  </si>
  <si>
    <t>Clubs ordered on unofficial "points" ratio of "2" for a Red and "1" for a Yellow</t>
  </si>
  <si>
    <t xml:space="preserve"> </t>
  </si>
  <si>
    <t>Points Scored</t>
  </si>
  <si>
    <t>Minutes S/handed</t>
  </si>
  <si>
    <t>Ave per 10 mins</t>
  </si>
  <si>
    <t>14 men</t>
  </si>
  <si>
    <t>13 men</t>
  </si>
  <si>
    <t>12 men</t>
  </si>
  <si>
    <t>11 men</t>
  </si>
  <si>
    <t>Total</t>
  </si>
  <si>
    <t>Minutes</t>
  </si>
  <si>
    <t>15 v 14</t>
  </si>
  <si>
    <t>15 v 13</t>
  </si>
  <si>
    <t>15 v 12</t>
  </si>
  <si>
    <t>14 v 13</t>
  </si>
  <si>
    <t>Totals</t>
  </si>
  <si>
    <r>
      <t>MLR POWERPLAYS</t>
    </r>
    <r>
      <rPr>
        <b/>
        <sz val="11"/>
        <color rgb="FFFF0000"/>
        <rFont val="Calibri"/>
        <family val="2"/>
        <scheme val="minor"/>
      </rPr>
      <t xml:space="preserve"> (periods when teams are playing </t>
    </r>
    <r>
      <rPr>
        <b/>
        <u/>
        <sz val="11"/>
        <color rgb="FFFF0000"/>
        <rFont val="Calibri"/>
        <family val="2"/>
        <scheme val="minor"/>
      </rPr>
      <t>against short-handed opposition only</t>
    </r>
    <r>
      <rPr>
        <b/>
        <sz val="11"/>
        <color rgb="FFFF0000"/>
        <rFont val="Calibri"/>
        <family val="2"/>
        <scheme val="minor"/>
      </rPr>
      <t>)</t>
    </r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</si>
  <si>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</si>
  <si>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</si>
  <si>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</si>
  <si>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</si>
  <si>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</si>
  <si>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</si>
  <si>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</si>
  <si>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</si>
  <si>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</si>
  <si>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</si>
  <si>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</si>
  <si>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</si>
  <si>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</si>
  <si>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</si>
  <si>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 15</t>
  </si>
  <si>
    <t>Week 16</t>
  </si>
  <si>
    <t>Week 17</t>
  </si>
  <si>
    <t>Week 18</t>
  </si>
  <si>
    <t>PLAYED</t>
  </si>
  <si>
    <t>WON</t>
  </si>
  <si>
    <t>DRAWN</t>
  </si>
  <si>
    <t>LOST</t>
  </si>
  <si>
    <t>PTS SCORED</t>
  </si>
  <si>
    <t>PTS CONCEDED</t>
  </si>
  <si>
    <t>TRIES SCORED</t>
  </si>
  <si>
    <t>TRIES CONCEDED</t>
  </si>
  <si>
    <t>MLR RECORD incl. playoffs</t>
  </si>
  <si>
    <t>Including Rugby ATL</t>
  </si>
  <si>
    <t>Luke Rogan</t>
  </si>
  <si>
    <t>Ian Seaton</t>
  </si>
  <si>
    <t>Derek Summers</t>
  </si>
  <si>
    <t>Allen Alongi</t>
  </si>
  <si>
    <t>Robin Kaluzniak</t>
  </si>
  <si>
    <t>Pete Pender</t>
  </si>
  <si>
    <t>Blair Mclure</t>
  </si>
  <si>
    <t>Saro Turner</t>
  </si>
  <si>
    <t>Federico Anselmi</t>
  </si>
  <si>
    <t>Chris Assmus</t>
  </si>
  <si>
    <t>Austin Reed</t>
  </si>
  <si>
    <t>Kahlil Harrison</t>
  </si>
  <si>
    <t>Miles McIvor</t>
  </si>
  <si>
    <t>Tom Ciampa</t>
  </si>
  <si>
    <t>Amanda Cox</t>
  </si>
  <si>
    <t>Marquise Goodwin</t>
  </si>
  <si>
    <t>Mike Lawrenson</t>
  </si>
  <si>
    <t>Scott Green</t>
  </si>
  <si>
    <t>Kat Roche</t>
  </si>
  <si>
    <t>Will Nelson</t>
  </si>
  <si>
    <t>3-29</t>
  </si>
  <si>
    <t>29-3</t>
  </si>
  <si>
    <t>0-6</t>
  </si>
  <si>
    <t>6-0</t>
  </si>
  <si>
    <t>15-3</t>
  </si>
  <si>
    <t>3-15</t>
  </si>
  <si>
    <t>12-9</t>
  </si>
  <si>
    <t>9-12</t>
  </si>
  <si>
    <t>9-20</t>
  </si>
  <si>
    <t>20-9</t>
  </si>
  <si>
    <t>26-17</t>
  </si>
  <si>
    <t>17-26</t>
  </si>
  <si>
    <t>4v0</t>
  </si>
  <si>
    <t>4v1</t>
  </si>
  <si>
    <t xml:space="preserve"> 15-3</t>
  </si>
  <si>
    <t xml:space="preserve"> 12-9</t>
  </si>
  <si>
    <t>1v4</t>
  </si>
  <si>
    <t xml:space="preserve"> 9-20</t>
  </si>
  <si>
    <t>0v5</t>
  </si>
  <si>
    <t xml:space="preserve"> 3-29</t>
  </si>
  <si>
    <t>2v5</t>
  </si>
  <si>
    <t>Western Conference</t>
  </si>
  <si>
    <t>Eastern Conference</t>
  </si>
  <si>
    <t>24-14</t>
  </si>
  <si>
    <t>Jarrod Ford</t>
  </si>
  <si>
    <t>Greg Gilliam</t>
  </si>
  <si>
    <t>14-24</t>
  </si>
  <si>
    <t>24-0</t>
  </si>
  <si>
    <t>Amelia Luciano</t>
  </si>
  <si>
    <t>Rob Halcomb</t>
  </si>
  <si>
    <t>0-24</t>
  </si>
  <si>
    <t>14-10</t>
  </si>
  <si>
    <t>Moe Chaudry</t>
  </si>
  <si>
    <t>Chris O'Malley</t>
  </si>
  <si>
    <t>Kage Green</t>
  </si>
  <si>
    <t>10-14</t>
  </si>
  <si>
    <t>19-3</t>
  </si>
  <si>
    <t>Cisco Lopez</t>
  </si>
  <si>
    <t>Brad Schwalger</t>
  </si>
  <si>
    <t>3-19</t>
  </si>
  <si>
    <t>13-11</t>
  </si>
  <si>
    <t>Lex Weiner</t>
  </si>
  <si>
    <t>Fernando Garcia</t>
  </si>
  <si>
    <t>11-13</t>
  </si>
  <si>
    <t>12-14</t>
  </si>
  <si>
    <t>Kirk Swanner</t>
  </si>
  <si>
    <t>14-12</t>
  </si>
  <si>
    <t>5v0</t>
  </si>
  <si>
    <t xml:space="preserve"> 14-10</t>
  </si>
  <si>
    <t xml:space="preserve"> 19-3</t>
  </si>
  <si>
    <t>1v5</t>
  </si>
  <si>
    <t xml:space="preserve"> 13-11</t>
  </si>
  <si>
    <t>0v4</t>
  </si>
  <si>
    <t xml:space="preserve"> 12-14</t>
  </si>
  <si>
    <t>7-14</t>
  </si>
  <si>
    <t>14-7</t>
  </si>
  <si>
    <t>Aaron Davis</t>
  </si>
  <si>
    <t>15-12</t>
  </si>
  <si>
    <t>Jono Cooper</t>
  </si>
  <si>
    <t>Eanna O'Dowd</t>
  </si>
  <si>
    <t>12-15</t>
  </si>
  <si>
    <t>8-18</t>
  </si>
  <si>
    <t>18-8</t>
  </si>
  <si>
    <t>7-8</t>
  </si>
  <si>
    <t>Alexis Alfaro</t>
  </si>
  <si>
    <t>8-7</t>
  </si>
  <si>
    <t>Moe Chaudhry</t>
  </si>
  <si>
    <t>Alex Hedquist</t>
  </si>
  <si>
    <t xml:space="preserve"> 7-14</t>
  </si>
  <si>
    <t>2v2</t>
  </si>
  <si>
    <t xml:space="preserve"> 15-12</t>
  </si>
  <si>
    <t xml:space="preserve"> 8-18</t>
  </si>
  <si>
    <t xml:space="preserve"> 7-8</t>
  </si>
  <si>
    <t>7-33</t>
  </si>
  <si>
    <t>33-7</t>
  </si>
  <si>
    <t xml:space="preserve"> 7-33</t>
  </si>
  <si>
    <t>Brian Dusablon</t>
  </si>
  <si>
    <t>George Myers</t>
  </si>
  <si>
    <t>Craig Sakowski</t>
  </si>
  <si>
    <t>Andrew Dunn</t>
  </si>
  <si>
    <t>Mike Kelly</t>
  </si>
  <si>
    <t>8-23</t>
  </si>
  <si>
    <t>23-8</t>
  </si>
  <si>
    <t>11-7</t>
  </si>
  <si>
    <t>7-11</t>
  </si>
  <si>
    <t>36-14</t>
  </si>
  <si>
    <t>14-36</t>
  </si>
  <si>
    <t>15-32</t>
  </si>
  <si>
    <t>32-15</t>
  </si>
  <si>
    <t>7-12</t>
  </si>
  <si>
    <t>12-7</t>
  </si>
  <si>
    <t>17-13</t>
  </si>
  <si>
    <t>13-17</t>
  </si>
  <si>
    <t xml:space="preserve"> 8-23</t>
  </si>
  <si>
    <t xml:space="preserve"> 11-7</t>
  </si>
  <si>
    <t xml:space="preserve"> 7-12</t>
  </si>
  <si>
    <t>5v2</t>
  </si>
  <si>
    <t>15-14</t>
  </si>
  <si>
    <t>Jocob Gonzales</t>
  </si>
  <si>
    <t>14-15</t>
  </si>
  <si>
    <t>20-17</t>
  </si>
  <si>
    <t>17-20</t>
  </si>
  <si>
    <t>26-12</t>
  </si>
  <si>
    <t>Shawn Bastic</t>
  </si>
  <si>
    <t>12-26</t>
  </si>
  <si>
    <t>16-5</t>
  </si>
  <si>
    <t>5-16</t>
  </si>
  <si>
    <t xml:space="preserve"> 26-12</t>
  </si>
  <si>
    <t xml:space="preserve"> 16-5</t>
  </si>
  <si>
    <t>Greg Gillam</t>
  </si>
  <si>
    <t>15-19</t>
  </si>
  <si>
    <t>19-15</t>
  </si>
  <si>
    <t xml:space="preserve"> 14-5</t>
  </si>
  <si>
    <t>2v3</t>
  </si>
  <si>
    <t xml:space="preserve"> 13-3</t>
  </si>
  <si>
    <t>14-5</t>
  </si>
  <si>
    <t>5-14</t>
  </si>
  <si>
    <t>13-3</t>
  </si>
  <si>
    <t>3-13</t>
  </si>
  <si>
    <t>Blair McClure</t>
  </si>
  <si>
    <t>Cam Russell</t>
  </si>
  <si>
    <t>18-28</t>
  </si>
  <si>
    <t>28-18</t>
  </si>
  <si>
    <t>0-17</t>
  </si>
  <si>
    <t>5v1</t>
  </si>
  <si>
    <t xml:space="preserve"> 31-12</t>
  </si>
  <si>
    <t>17-0</t>
  </si>
  <si>
    <t>31-12</t>
  </si>
  <si>
    <t>12-31</t>
  </si>
  <si>
    <t>Sean Bastic</t>
  </si>
  <si>
    <t>15-22</t>
  </si>
  <si>
    <t xml:space="preserve"> 10-31</t>
  </si>
  <si>
    <t>2v4</t>
  </si>
  <si>
    <t xml:space="preserve"> 10-17</t>
  </si>
  <si>
    <t>22-15</t>
  </si>
  <si>
    <t>10-31</t>
  </si>
  <si>
    <t>31-10</t>
  </si>
  <si>
    <t>10-17</t>
  </si>
  <si>
    <t>17-10</t>
  </si>
  <si>
    <t>Dave Edwards</t>
  </si>
  <si>
    <t>21-5</t>
  </si>
  <si>
    <t>5-21</t>
  </si>
  <si>
    <t>5-26</t>
  </si>
  <si>
    <t>26-5</t>
  </si>
  <si>
    <t>0-21</t>
  </si>
  <si>
    <t>21-0</t>
  </si>
  <si>
    <t>14-0</t>
  </si>
  <si>
    <t>0-14</t>
  </si>
  <si>
    <t>7-17</t>
  </si>
  <si>
    <t>17-7</t>
  </si>
  <si>
    <t xml:space="preserve"> 21-5</t>
  </si>
  <si>
    <t xml:space="preserve"> 5-26</t>
  </si>
  <si>
    <t xml:space="preserve"> 7-17</t>
  </si>
  <si>
    <t>Erasmus</t>
  </si>
  <si>
    <t>10-8</t>
  </si>
  <si>
    <t>8-10</t>
  </si>
  <si>
    <t xml:space="preserve"> 10-8</t>
  </si>
  <si>
    <t>5-7</t>
  </si>
  <si>
    <t>7-5</t>
  </si>
  <si>
    <t xml:space="preserve"> 5-7</t>
  </si>
  <si>
    <t>3-10</t>
  </si>
  <si>
    <t>10-3</t>
  </si>
  <si>
    <t xml:space="preserve"> 3-10</t>
  </si>
  <si>
    <t>8-13</t>
  </si>
  <si>
    <t>13-8</t>
  </si>
  <si>
    <t xml:space="preserve"> 8-13</t>
  </si>
  <si>
    <t>17-12</t>
  </si>
  <si>
    <t>12-17</t>
  </si>
  <si>
    <t>4v2</t>
  </si>
  <si>
    <t xml:space="preserve"> 17-12</t>
  </si>
  <si>
    <t>Juan Para</t>
  </si>
  <si>
    <t>Ben Dickenson</t>
  </si>
  <si>
    <t>Andrew Cole</t>
  </si>
  <si>
    <t>3-33</t>
  </si>
  <si>
    <t>33-3</t>
  </si>
  <si>
    <t>14-19</t>
  </si>
  <si>
    <t>19-14</t>
  </si>
  <si>
    <t>Bekerman, Zeiss</t>
  </si>
  <si>
    <t>10-24</t>
  </si>
  <si>
    <t>24-10</t>
  </si>
  <si>
    <t>14-13</t>
  </si>
  <si>
    <t>13-14</t>
  </si>
  <si>
    <t xml:space="preserve"> 3-33</t>
  </si>
  <si>
    <t xml:space="preserve"> 10-24</t>
  </si>
  <si>
    <t>Nel</t>
  </si>
  <si>
    <t>13-12</t>
  </si>
  <si>
    <t>12-13</t>
  </si>
  <si>
    <t>19-22</t>
  </si>
  <si>
    <t>22-19</t>
  </si>
  <si>
    <t>Telea-Ilalilo, Tuivati</t>
  </si>
  <si>
    <t>Juan Parra</t>
  </si>
  <si>
    <t xml:space="preserve"> 13-12</t>
  </si>
  <si>
    <t>11-9</t>
  </si>
  <si>
    <t>Damian Schneider</t>
  </si>
  <si>
    <t>9-11</t>
  </si>
  <si>
    <t>Fa'anana-Schultz, Naqali</t>
  </si>
  <si>
    <t xml:space="preserve"> 11-9</t>
  </si>
  <si>
    <t xml:space="preserve"> 8-7</t>
  </si>
  <si>
    <t xml:space="preserve"> 5-5</t>
  </si>
  <si>
    <t xml:space="preserve"> 19-7</t>
  </si>
  <si>
    <t>5-5</t>
  </si>
  <si>
    <t>19-7</t>
  </si>
  <si>
    <t>7-19</t>
  </si>
  <si>
    <t>12-12</t>
  </si>
  <si>
    <t>Peter Pender</t>
  </si>
  <si>
    <t>William Nelson</t>
  </si>
  <si>
    <t>21-7</t>
  </si>
  <si>
    <t>7-21</t>
  </si>
  <si>
    <t>10-10</t>
  </si>
  <si>
    <t>Jacob Gonzalez</t>
  </si>
  <si>
    <t>7-10</t>
  </si>
  <si>
    <t>10-7</t>
  </si>
  <si>
    <r>
      <rPr>
        <sz val="11"/>
        <color theme="1"/>
        <rFont val="Aptos Narrow"/>
        <family val="2"/>
      </rPr>
      <t>©</t>
    </r>
    <r>
      <rPr>
        <sz val="11"/>
        <color theme="1"/>
        <rFont val="Calibri"/>
        <family val="2"/>
      </rPr>
      <t xml:space="preserve"> Hillsport Media Ltd</t>
    </r>
  </si>
  <si>
    <t>Saba Abulashvili</t>
  </si>
  <si>
    <t xml:space="preserve"> 17-10</t>
  </si>
  <si>
    <t>19-12</t>
  </si>
  <si>
    <t>12-19</t>
  </si>
  <si>
    <t xml:space="preserve"> 19-12</t>
  </si>
  <si>
    <t>Emery, Kauika-Petersen, Maughan</t>
  </si>
  <si>
    <t xml:space="preserve"> 10-3</t>
  </si>
  <si>
    <t>5-8</t>
  </si>
  <si>
    <t>8-5</t>
  </si>
  <si>
    <t xml:space="preserve"> 5-8</t>
  </si>
  <si>
    <t>49-10</t>
  </si>
  <si>
    <t>10-49</t>
  </si>
  <si>
    <t>Lindsay Oliver</t>
  </si>
  <si>
    <t>17-17</t>
  </si>
  <si>
    <t>13-10</t>
  </si>
  <si>
    <t>10-13</t>
  </si>
  <si>
    <t>7-15</t>
  </si>
  <si>
    <t>15-7</t>
  </si>
  <si>
    <t xml:space="preserve"> 13-10</t>
  </si>
  <si>
    <t xml:space="preserve"> 14-12</t>
  </si>
  <si>
    <t xml:space="preserve"> 7-15</t>
  </si>
  <si>
    <t>Still (3), Apikotoa (2), Barry, Murray, Nai, Rivers, Singh</t>
  </si>
  <si>
    <t>Still</t>
  </si>
  <si>
    <t>↓</t>
  </si>
  <si>
    <t>↑</t>
  </si>
  <si>
    <t>Clint Lemkus</t>
  </si>
  <si>
    <t>Adams, Feakes, Florence, Noa, Paranihi</t>
  </si>
  <si>
    <t>19-19</t>
  </si>
  <si>
    <t xml:space="preserve"> 17-7</t>
  </si>
  <si>
    <t>33-24</t>
  </si>
  <si>
    <t>24-33</t>
  </si>
  <si>
    <t>10-5</t>
  </si>
  <si>
    <t>5-10</t>
  </si>
  <si>
    <t xml:space="preserve"> 10-5</t>
  </si>
  <si>
    <t>10-18</t>
  </si>
  <si>
    <t>18-10</t>
  </si>
  <si>
    <t xml:space="preserve"> 18-10</t>
  </si>
  <si>
    <t>Jacob Gonzales</t>
  </si>
  <si>
    <t>Angus Maybey</t>
  </si>
  <si>
    <t xml:space="preserve"> 12-19</t>
  </si>
  <si>
    <t>31-26</t>
  </si>
  <si>
    <t>26-31</t>
  </si>
  <si>
    <t>26-7</t>
  </si>
  <si>
    <t>7-26</t>
  </si>
  <si>
    <t xml:space="preserve"> 26-7</t>
  </si>
  <si>
    <t>17-21</t>
  </si>
  <si>
    <t>21-17</t>
  </si>
  <si>
    <t>Jl 21</t>
  </si>
  <si>
    <t>Jl 20</t>
  </si>
  <si>
    <t>ECSF</t>
  </si>
  <si>
    <t>ECF</t>
  </si>
  <si>
    <t>WCSF</t>
  </si>
  <si>
    <t>WCF</t>
  </si>
  <si>
    <t>NA</t>
  </si>
  <si>
    <t>30-21</t>
  </si>
  <si>
    <t>21-30</t>
  </si>
  <si>
    <t>15-20</t>
  </si>
  <si>
    <t>20-15</t>
  </si>
  <si>
    <t>16-18</t>
  </si>
  <si>
    <t>18-16</t>
  </si>
  <si>
    <t>Jl 27</t>
  </si>
  <si>
    <t xml:space="preserve"> 18-9</t>
  </si>
  <si>
    <t>18-9</t>
  </si>
  <si>
    <t>Jl 28</t>
  </si>
  <si>
    <t>9-18</t>
  </si>
  <si>
    <t>Conference Semi-Finals</t>
  </si>
  <si>
    <t>Conference Finals</t>
  </si>
  <si>
    <t>Jones (2), Meakes (2), O'Keefe (2), Carty, Dominguez, 
McCarthy, Ryan</t>
  </si>
  <si>
    <t>Lindenmuth (2), Momsen (2), Nasoqeqe (2), Anae-Ah Sue (2), 
Hill, Redelinghuys, van der Schyff, van Wyk, La White</t>
  </si>
  <si>
    <t>Naqali (2), Daniel, Fa'anana-Schultz, Harley, Martinez, Muller, 
Naqali, Robertson, Talataina-Mu</t>
  </si>
  <si>
    <t>Lochore (2), Souchon (2), Bradford, Conradie, Hamilton, 
Hodgson, Kaufusi, Moli, Paea, Prior, Uhila, van den Berg</t>
  </si>
  <si>
    <t>Ardao (4), Cubelli (2), Grigg (2), Bonasso, Casares, Etete, 
Inciarte, McDonnell, Myhill, Oitomen, Sole, van den Hoven</t>
  </si>
  <si>
    <t>Adams, Depperschmidt, Filimone, Jackson-Hope, Lopeti, 
May, Noa, O'Toole, Roberts, T Tongauiha</t>
  </si>
  <si>
    <t>Afungia (2), Aoake (2), Roach (2), Brache, Breen, Giteau, 
Grayson, Leuta, Mickelson, Ross, Syvia, Tupai, Tuivaiti</t>
  </si>
  <si>
    <t>Kunatani (4), Maughan (4), Kauika-Petersen (2), Strang (2), Coe, 
Damm, Heaton, Katijeko, O'Gorman, Saunders, van Vuuren, Vukasinovic</t>
  </si>
  <si>
    <t>N</t>
  </si>
  <si>
    <t>Ag 4</t>
  </si>
  <si>
    <t>Keys (2), Baker, Baillie, Bastres, Hala-Ngatai, Keith, Larsen, 
MacDonald, Ralph, van der Bank, Van Dadelszen, Wilson</t>
  </si>
  <si>
    <t xml:space="preserve"> 10-7</t>
  </si>
  <si>
    <t>14-20</t>
  </si>
  <si>
    <t>20-14</t>
  </si>
  <si>
    <t>Bekerman (2), Bur (2), Fry (2), Zeiss (2), Alikhan, Breytenbach, Elias, 
Horcada, Isaacs, Kotze, Steeves, Torres, Winchester, Zeiss</t>
  </si>
  <si>
    <t>8-14</t>
  </si>
  <si>
    <t>14-8</t>
  </si>
  <si>
    <t xml:space="preserve"> 8-14</t>
  </si>
  <si>
    <t>Herbst (2), Lopeti (2), Elton, Futi, Haini, Mason, Orr, Rossouw, 
Smith, Taufete'e, Taylor, Watson Davis, Wenglewski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</si>
</sst>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3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0"/>
      <name val="Calibri (Body)"/>
    </font>
    <font>
      <sz val="11"/>
      <color theme="0"/>
      <name val="Calibri (Body)"/>
    </font>
    <font>
      <sz val="10"/>
      <color theme="0"/>
      <name val="Calibri (Body)"/>
    </font>
    <font>
      <sz val="10"/>
      <color theme="0"/>
      <name val="Calibri"/>
      <family val="2"/>
    </font>
    <font>
      <sz val="11"/>
      <color theme="0" tint="-0.249977111117893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4" tint="0.59999389629810485"/>
      <name val="Calibri"/>
      <family val="2"/>
      <scheme val="minor"/>
    </font>
    <font>
      <sz val="12"/>
      <color theme="4" tint="0.59999389629810485"/>
      <name val="Calibri"/>
      <family val="2"/>
      <scheme val="minor"/>
    </font>
    <font>
      <sz val="11"/>
      <color theme="4" tint="0.59999389629810485"/>
      <name val="Calibri"/>
      <family val="2"/>
      <scheme val="minor"/>
    </font>
    <font>
      <b/>
      <sz val="11"/>
      <color rgb="FF92D050"/>
      <name val="Calibri"/>
      <family val="2"/>
      <scheme val="minor"/>
    </font>
    <font>
      <sz val="12"/>
      <color rgb="FF92D050"/>
      <name val="Calibri"/>
      <family val="2"/>
      <scheme val="minor"/>
    </font>
    <font>
      <sz val="11"/>
      <color rgb="FF92D050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1"/>
      <color rgb="FF142837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5EA790"/>
      <name val="Calibri"/>
      <family val="2"/>
      <scheme val="minor"/>
    </font>
    <font>
      <sz val="12"/>
      <color rgb="FF5EA790"/>
      <name val="Calibri"/>
      <family val="2"/>
      <scheme val="minor"/>
    </font>
    <font>
      <sz val="11"/>
      <color rgb="FF5EA79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2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2"/>
      <color theme="4" tint="0.59999389629810485"/>
      <name val="Calibri"/>
      <family val="2"/>
      <scheme val="minor"/>
    </font>
    <font>
      <b/>
      <sz val="12"/>
      <color rgb="FF5EA790"/>
      <name val="Calibri"/>
      <family val="2"/>
      <scheme val="minor"/>
    </font>
    <font>
      <b/>
      <sz val="12"/>
      <color rgb="FFFFFF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theme="1"/>
      <name val="Aptos Narrow"/>
      <family val="2"/>
    </font>
    <font>
      <b/>
      <sz val="11"/>
      <color rgb="FF4D5156"/>
      <name val="Calibri"/>
      <family val="2"/>
      <scheme val="minor"/>
    </font>
    <font>
      <b/>
      <sz val="10"/>
      <color theme="0"/>
      <name val="Calibri (Body)"/>
    </font>
    <font>
      <b/>
      <sz val="12"/>
      <color theme="0"/>
      <name val="Calibri"/>
      <family val="2"/>
    </font>
    <font>
      <sz val="12"/>
      <color theme="0"/>
      <name val="Calibri"/>
      <family val="2"/>
    </font>
    <font>
      <b/>
      <sz val="10"/>
      <color theme="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018EA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DDD9C3"/>
        <bgColor rgb="FFDDD9C3"/>
      </patternFill>
    </fill>
    <fill>
      <patternFill patternType="solid">
        <fgColor rgb="FFDDD9C4"/>
        <bgColor rgb="FFDDD9C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4B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89999084444715716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09">
    <xf numFmtId="0" fontId="0" fillId="0" borderId="0" xfId="0"/>
    <xf numFmtId="17" fontId="3" fillId="2" borderId="6" xfId="0" applyNumberFormat="1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center" vertical="center" wrapText="1"/>
    </xf>
    <xf numFmtId="1" fontId="3" fillId="2" borderId="7" xfId="0" applyNumberFormat="1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right"/>
    </xf>
    <xf numFmtId="49" fontId="5" fillId="2" borderId="4" xfId="0" applyNumberFormat="1" applyFont="1" applyFill="1" applyBorder="1" applyAlignment="1">
      <alignment horizontal="center"/>
    </xf>
    <xf numFmtId="0" fontId="4" fillId="2" borderId="1" xfId="0" applyFont="1" applyFill="1" applyBorder="1"/>
    <xf numFmtId="0" fontId="4" fillId="2" borderId="4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49" fontId="6" fillId="2" borderId="4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left" vertical="center" wrapText="1"/>
    </xf>
    <xf numFmtId="3" fontId="4" fillId="2" borderId="4" xfId="0" applyNumberFormat="1" applyFont="1" applyFill="1" applyBorder="1" applyAlignment="1">
      <alignment horizontal="right"/>
    </xf>
    <xf numFmtId="49" fontId="4" fillId="2" borderId="4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1" fontId="7" fillId="2" borderId="7" xfId="0" applyNumberFormat="1" applyFont="1" applyFill="1" applyBorder="1" applyAlignment="1">
      <alignment horizontal="center" vertical="center" wrapText="1"/>
    </xf>
    <xf numFmtId="1" fontId="8" fillId="2" borderId="7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right"/>
    </xf>
    <xf numFmtId="49" fontId="9" fillId="2" borderId="4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11" xfId="0" applyFont="1" applyFill="1" applyBorder="1"/>
    <xf numFmtId="0" fontId="8" fillId="2" borderId="3" xfId="0" applyFont="1" applyFill="1" applyBorder="1"/>
    <xf numFmtId="0" fontId="3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7" fontId="11" fillId="5" borderId="0" xfId="0" applyNumberFormat="1" applyFont="1" applyFill="1" applyAlignment="1">
      <alignment horizontal="left" vertical="center" wrapText="1"/>
    </xf>
    <xf numFmtId="0" fontId="11" fillId="5" borderId="0" xfId="0" applyFont="1" applyFill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4" fillId="0" borderId="0" xfId="0" applyFont="1"/>
    <xf numFmtId="0" fontId="3" fillId="6" borderId="0" xfId="0" applyFont="1" applyFill="1"/>
    <xf numFmtId="0" fontId="3" fillId="4" borderId="4" xfId="0" applyFont="1" applyFill="1" applyBorder="1"/>
    <xf numFmtId="0" fontId="3" fillId="4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4" fillId="7" borderId="4" xfId="0" applyFont="1" applyFill="1" applyBorder="1"/>
    <xf numFmtId="0" fontId="3" fillId="8" borderId="4" xfId="0" applyFont="1" applyFill="1" applyBorder="1" applyAlignment="1">
      <alignment horizontal="center"/>
    </xf>
    <xf numFmtId="0" fontId="3" fillId="8" borderId="1" xfId="0" applyFont="1" applyFill="1" applyBorder="1"/>
    <xf numFmtId="0" fontId="3" fillId="8" borderId="4" xfId="0" applyFont="1" applyFill="1" applyBorder="1"/>
    <xf numFmtId="0" fontId="3" fillId="8" borderId="2" xfId="0" applyFont="1" applyFill="1" applyBorder="1"/>
    <xf numFmtId="0" fontId="3" fillId="8" borderId="5" xfId="0" applyFont="1" applyFill="1" applyBorder="1" applyAlignment="1">
      <alignment vertical="center" wrapText="1"/>
    </xf>
    <xf numFmtId="0" fontId="3" fillId="8" borderId="6" xfId="0" applyFont="1" applyFill="1" applyBorder="1" applyAlignment="1">
      <alignment vertical="center" wrapText="1"/>
    </xf>
    <xf numFmtId="0" fontId="3" fillId="8" borderId="4" xfId="0" applyFont="1" applyFill="1" applyBorder="1" applyAlignment="1">
      <alignment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4" fillId="8" borderId="8" xfId="0" applyFont="1" applyFill="1" applyBorder="1"/>
    <xf numFmtId="49" fontId="4" fillId="8" borderId="8" xfId="0" applyNumberFormat="1" applyFont="1" applyFill="1" applyBorder="1"/>
    <xf numFmtId="0" fontId="4" fillId="8" borderId="9" xfId="0" applyFont="1" applyFill="1" applyBorder="1"/>
    <xf numFmtId="0" fontId="4" fillId="8" borderId="10" xfId="0" applyFont="1" applyFill="1" applyBorder="1"/>
    <xf numFmtId="0" fontId="4" fillId="8" borderId="4" xfId="0" applyFont="1" applyFill="1" applyBorder="1"/>
    <xf numFmtId="0" fontId="3" fillId="8" borderId="4" xfId="0" applyFont="1" applyFill="1" applyBorder="1" applyAlignment="1">
      <alignment horizontal="right"/>
    </xf>
    <xf numFmtId="0" fontId="3" fillId="8" borderId="0" xfId="0" applyFont="1" applyFill="1" applyAlignment="1">
      <alignment horizontal="right"/>
    </xf>
    <xf numFmtId="0" fontId="4" fillId="2" borderId="4" xfId="0" applyFont="1" applyFill="1" applyBorder="1" applyAlignment="1">
      <alignment horizontal="center"/>
    </xf>
    <xf numFmtId="17" fontId="3" fillId="3" borderId="6" xfId="0" applyNumberFormat="1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horizontal="center" vertical="center" wrapText="1"/>
    </xf>
    <xf numFmtId="1" fontId="3" fillId="3" borderId="7" xfId="0" applyNumberFormat="1" applyFont="1" applyFill="1" applyBorder="1" applyAlignment="1">
      <alignment horizontal="center" vertical="center" wrapText="1"/>
    </xf>
    <xf numFmtId="1" fontId="4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right"/>
    </xf>
    <xf numFmtId="49" fontId="5" fillId="3" borderId="4" xfId="0" applyNumberFormat="1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/>
    <xf numFmtId="0" fontId="4" fillId="3" borderId="2" xfId="0" applyFont="1" applyFill="1" applyBorder="1"/>
    <xf numFmtId="0" fontId="4" fillId="3" borderId="3" xfId="0" applyFont="1" applyFill="1" applyBorder="1"/>
    <xf numFmtId="0" fontId="4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left" vertical="center" wrapText="1"/>
    </xf>
    <xf numFmtId="3" fontId="4" fillId="3" borderId="4" xfId="0" applyNumberFormat="1" applyFont="1" applyFill="1" applyBorder="1" applyAlignment="1">
      <alignment horizontal="right"/>
    </xf>
    <xf numFmtId="49" fontId="4" fillId="3" borderId="4" xfId="0" applyNumberFormat="1" applyFont="1" applyFill="1" applyBorder="1" applyAlignment="1">
      <alignment horizontal="center"/>
    </xf>
    <xf numFmtId="49" fontId="2" fillId="3" borderId="4" xfId="0" applyNumberFormat="1" applyFont="1" applyFill="1" applyBorder="1" applyAlignment="1">
      <alignment horizontal="center"/>
    </xf>
    <xf numFmtId="0" fontId="16" fillId="11" borderId="4" xfId="0" applyFont="1" applyFill="1" applyBorder="1" applyAlignment="1">
      <alignment horizontal="center"/>
    </xf>
    <xf numFmtId="0" fontId="16" fillId="11" borderId="1" xfId="0" applyFont="1" applyFill="1" applyBorder="1"/>
    <xf numFmtId="0" fontId="16" fillId="11" borderId="4" xfId="0" applyFont="1" applyFill="1" applyBorder="1"/>
    <xf numFmtId="0" fontId="16" fillId="11" borderId="2" xfId="0" applyFont="1" applyFill="1" applyBorder="1"/>
    <xf numFmtId="0" fontId="16" fillId="11" borderId="5" xfId="0" applyFont="1" applyFill="1" applyBorder="1" applyAlignment="1">
      <alignment vertical="center" wrapText="1"/>
    </xf>
    <xf numFmtId="0" fontId="16" fillId="11" borderId="6" xfId="0" applyFont="1" applyFill="1" applyBorder="1" applyAlignment="1">
      <alignment vertical="center" wrapText="1"/>
    </xf>
    <xf numFmtId="0" fontId="16" fillId="11" borderId="4" xfId="0" applyFont="1" applyFill="1" applyBorder="1" applyAlignment="1">
      <alignment vertical="center" wrapText="1"/>
    </xf>
    <xf numFmtId="0" fontId="16" fillId="11" borderId="4" xfId="0" applyFont="1" applyFill="1" applyBorder="1" applyAlignment="1">
      <alignment horizontal="center" vertical="center" wrapText="1"/>
    </xf>
    <xf numFmtId="0" fontId="16" fillId="11" borderId="7" xfId="0" applyFont="1" applyFill="1" applyBorder="1" applyAlignment="1">
      <alignment horizontal="center" vertical="center" wrapText="1"/>
    </xf>
    <xf numFmtId="0" fontId="17" fillId="11" borderId="8" xfId="0" applyFont="1" applyFill="1" applyBorder="1"/>
    <xf numFmtId="49" fontId="17" fillId="11" borderId="8" xfId="0" applyNumberFormat="1" applyFont="1" applyFill="1" applyBorder="1"/>
    <xf numFmtId="0" fontId="17" fillId="11" borderId="9" xfId="0" applyFont="1" applyFill="1" applyBorder="1"/>
    <xf numFmtId="0" fontId="17" fillId="11" borderId="10" xfId="0" applyFont="1" applyFill="1" applyBorder="1"/>
    <xf numFmtId="0" fontId="17" fillId="11" borderId="4" xfId="0" applyFont="1" applyFill="1" applyBorder="1"/>
    <xf numFmtId="0" fontId="16" fillId="11" borderId="4" xfId="0" applyFont="1" applyFill="1" applyBorder="1" applyAlignment="1">
      <alignment horizontal="right"/>
    </xf>
    <xf numFmtId="0" fontId="16" fillId="11" borderId="0" xfId="0" applyFont="1" applyFill="1" applyAlignment="1">
      <alignment horizontal="right"/>
    </xf>
    <xf numFmtId="0" fontId="3" fillId="7" borderId="4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4" xfId="0" applyFont="1" applyFill="1" applyBorder="1"/>
    <xf numFmtId="0" fontId="3" fillId="7" borderId="2" xfId="0" applyFont="1" applyFill="1" applyBorder="1"/>
    <xf numFmtId="0" fontId="3" fillId="7" borderId="5" xfId="0" applyFont="1" applyFill="1" applyBorder="1" applyAlignment="1">
      <alignment vertical="center" wrapText="1"/>
    </xf>
    <xf numFmtId="0" fontId="3" fillId="7" borderId="6" xfId="0" applyFont="1" applyFill="1" applyBorder="1" applyAlignment="1">
      <alignment vertical="center" wrapText="1"/>
    </xf>
    <xf numFmtId="0" fontId="4" fillId="7" borderId="8" xfId="0" applyFont="1" applyFill="1" applyBorder="1"/>
    <xf numFmtId="49" fontId="4" fillId="7" borderId="8" xfId="0" applyNumberFormat="1" applyFont="1" applyFill="1" applyBorder="1"/>
    <xf numFmtId="0" fontId="4" fillId="7" borderId="9" xfId="0" applyFont="1" applyFill="1" applyBorder="1"/>
    <xf numFmtId="0" fontId="4" fillId="7" borderId="10" xfId="0" applyFont="1" applyFill="1" applyBorder="1"/>
    <xf numFmtId="0" fontId="3" fillId="7" borderId="4" xfId="0" applyFont="1" applyFill="1" applyBorder="1" applyAlignment="1">
      <alignment horizontal="right"/>
    </xf>
    <xf numFmtId="0" fontId="3" fillId="7" borderId="0" xfId="0" applyFont="1" applyFill="1" applyAlignment="1">
      <alignment horizontal="right"/>
    </xf>
    <xf numFmtId="0" fontId="3" fillId="12" borderId="4" xfId="0" applyFont="1" applyFill="1" applyBorder="1" applyAlignment="1">
      <alignment horizontal="center"/>
    </xf>
    <xf numFmtId="0" fontId="3" fillId="12" borderId="1" xfId="0" applyFont="1" applyFill="1" applyBorder="1"/>
    <xf numFmtId="0" fontId="3" fillId="12" borderId="4" xfId="0" applyFont="1" applyFill="1" applyBorder="1"/>
    <xf numFmtId="0" fontId="3" fillId="12" borderId="2" xfId="0" applyFont="1" applyFill="1" applyBorder="1"/>
    <xf numFmtId="0" fontId="3" fillId="12" borderId="5" xfId="0" applyFont="1" applyFill="1" applyBorder="1" applyAlignment="1">
      <alignment vertical="center" wrapText="1"/>
    </xf>
    <xf numFmtId="0" fontId="3" fillId="12" borderId="6" xfId="0" applyFont="1" applyFill="1" applyBorder="1" applyAlignment="1">
      <alignment vertical="center" wrapText="1"/>
    </xf>
    <xf numFmtId="0" fontId="3" fillId="12" borderId="4" xfId="0" applyFont="1" applyFill="1" applyBorder="1" applyAlignment="1">
      <alignment vertical="center" wrapText="1"/>
    </xf>
    <xf numFmtId="0" fontId="3" fillId="12" borderId="4" xfId="0" applyFont="1" applyFill="1" applyBorder="1" applyAlignment="1">
      <alignment horizontal="center" vertical="center" wrapText="1"/>
    </xf>
    <xf numFmtId="0" fontId="3" fillId="12" borderId="7" xfId="0" applyFont="1" applyFill="1" applyBorder="1" applyAlignment="1">
      <alignment horizontal="center" vertical="center" wrapText="1"/>
    </xf>
    <xf numFmtId="0" fontId="4" fillId="12" borderId="8" xfId="0" applyFont="1" applyFill="1" applyBorder="1"/>
    <xf numFmtId="49" fontId="4" fillId="12" borderId="8" xfId="0" applyNumberFormat="1" applyFont="1" applyFill="1" applyBorder="1"/>
    <xf numFmtId="0" fontId="4" fillId="12" borderId="9" xfId="0" applyFont="1" applyFill="1" applyBorder="1"/>
    <xf numFmtId="0" fontId="4" fillId="12" borderId="10" xfId="0" applyFont="1" applyFill="1" applyBorder="1"/>
    <xf numFmtId="0" fontId="4" fillId="12" borderId="4" xfId="0" applyFont="1" applyFill="1" applyBorder="1"/>
    <xf numFmtId="0" fontId="3" fillId="12" borderId="4" xfId="0" applyFont="1" applyFill="1" applyBorder="1" applyAlignment="1">
      <alignment horizontal="right"/>
    </xf>
    <xf numFmtId="0" fontId="3" fillId="12" borderId="0" xfId="0" applyFont="1" applyFill="1" applyAlignment="1">
      <alignment horizontal="right"/>
    </xf>
    <xf numFmtId="0" fontId="18" fillId="11" borderId="4" xfId="0" applyFont="1" applyFill="1" applyBorder="1" applyAlignment="1">
      <alignment horizontal="center"/>
    </xf>
    <xf numFmtId="0" fontId="18" fillId="11" borderId="1" xfId="0" applyFont="1" applyFill="1" applyBorder="1"/>
    <xf numFmtId="0" fontId="18" fillId="11" borderId="4" xfId="0" applyFont="1" applyFill="1" applyBorder="1"/>
    <xf numFmtId="0" fontId="18" fillId="11" borderId="2" xfId="0" applyFont="1" applyFill="1" applyBorder="1"/>
    <xf numFmtId="0" fontId="18" fillId="11" borderId="5" xfId="0" applyFont="1" applyFill="1" applyBorder="1" applyAlignment="1">
      <alignment vertical="center" wrapText="1"/>
    </xf>
    <xf numFmtId="0" fontId="18" fillId="11" borderId="6" xfId="0" applyFont="1" applyFill="1" applyBorder="1" applyAlignment="1">
      <alignment vertical="center" wrapText="1"/>
    </xf>
    <xf numFmtId="0" fontId="18" fillId="11" borderId="4" xfId="0" applyFont="1" applyFill="1" applyBorder="1" applyAlignment="1">
      <alignment vertical="center" wrapText="1"/>
    </xf>
    <xf numFmtId="0" fontId="18" fillId="11" borderId="4" xfId="0" applyFont="1" applyFill="1" applyBorder="1" applyAlignment="1">
      <alignment horizontal="center" vertical="center" wrapText="1"/>
    </xf>
    <xf numFmtId="0" fontId="18" fillId="11" borderId="7" xfId="0" applyFont="1" applyFill="1" applyBorder="1" applyAlignment="1">
      <alignment horizontal="center" vertical="center" wrapText="1"/>
    </xf>
    <xf numFmtId="0" fontId="20" fillId="11" borderId="8" xfId="0" applyFont="1" applyFill="1" applyBorder="1"/>
    <xf numFmtId="49" fontId="20" fillId="11" borderId="8" xfId="0" applyNumberFormat="1" applyFont="1" applyFill="1" applyBorder="1"/>
    <xf numFmtId="0" fontId="20" fillId="11" borderId="9" xfId="0" applyFont="1" applyFill="1" applyBorder="1"/>
    <xf numFmtId="0" fontId="20" fillId="11" borderId="10" xfId="0" applyFont="1" applyFill="1" applyBorder="1"/>
    <xf numFmtId="0" fontId="20" fillId="11" borderId="4" xfId="0" applyFont="1" applyFill="1" applyBorder="1"/>
    <xf numFmtId="0" fontId="18" fillId="11" borderId="4" xfId="0" applyFont="1" applyFill="1" applyBorder="1" applyAlignment="1">
      <alignment horizontal="right"/>
    </xf>
    <xf numFmtId="0" fontId="18" fillId="11" borderId="0" xfId="0" applyFont="1" applyFill="1" applyAlignment="1">
      <alignment horizontal="right"/>
    </xf>
    <xf numFmtId="0" fontId="16" fillId="3" borderId="4" xfId="0" applyFont="1" applyFill="1" applyBorder="1" applyAlignment="1">
      <alignment horizontal="center"/>
    </xf>
    <xf numFmtId="0" fontId="16" fillId="3" borderId="1" xfId="0" applyFont="1" applyFill="1" applyBorder="1"/>
    <xf numFmtId="0" fontId="16" fillId="3" borderId="4" xfId="0" applyFont="1" applyFill="1" applyBorder="1"/>
    <xf numFmtId="0" fontId="16" fillId="3" borderId="2" xfId="0" applyFont="1" applyFill="1" applyBorder="1"/>
    <xf numFmtId="0" fontId="16" fillId="3" borderId="5" xfId="0" applyFont="1" applyFill="1" applyBorder="1" applyAlignment="1">
      <alignment vertical="center" wrapText="1"/>
    </xf>
    <xf numFmtId="0" fontId="16" fillId="3" borderId="6" xfId="0" applyFont="1" applyFill="1" applyBorder="1" applyAlignment="1">
      <alignment vertical="center" wrapText="1"/>
    </xf>
    <xf numFmtId="0" fontId="16" fillId="3" borderId="4" xfId="0" applyFont="1" applyFill="1" applyBorder="1" applyAlignment="1">
      <alignment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7" fillId="3" borderId="8" xfId="0" applyFont="1" applyFill="1" applyBorder="1"/>
    <xf numFmtId="49" fontId="17" fillId="3" borderId="8" xfId="0" applyNumberFormat="1" applyFont="1" applyFill="1" applyBorder="1"/>
    <xf numFmtId="0" fontId="17" fillId="3" borderId="9" xfId="0" applyFont="1" applyFill="1" applyBorder="1"/>
    <xf numFmtId="0" fontId="17" fillId="3" borderId="10" xfId="0" applyFont="1" applyFill="1" applyBorder="1"/>
    <xf numFmtId="0" fontId="17" fillId="3" borderId="4" xfId="0" applyFont="1" applyFill="1" applyBorder="1"/>
    <xf numFmtId="0" fontId="16" fillId="3" borderId="4" xfId="0" applyFont="1" applyFill="1" applyBorder="1" applyAlignment="1">
      <alignment horizontal="right"/>
    </xf>
    <xf numFmtId="0" fontId="16" fillId="3" borderId="0" xfId="0" applyFont="1" applyFill="1" applyAlignment="1">
      <alignment horizontal="right"/>
    </xf>
    <xf numFmtId="0" fontId="7" fillId="3" borderId="4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1" fontId="7" fillId="3" borderId="7" xfId="0" applyNumberFormat="1" applyFont="1" applyFill="1" applyBorder="1" applyAlignment="1">
      <alignment horizontal="center" vertical="center" wrapText="1"/>
    </xf>
    <xf numFmtId="1" fontId="8" fillId="3" borderId="7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3" fontId="8" fillId="3" borderId="4" xfId="0" applyNumberFormat="1" applyFont="1" applyFill="1" applyBorder="1" applyAlignment="1">
      <alignment horizontal="right"/>
    </xf>
    <xf numFmtId="49" fontId="9" fillId="3" borderId="4" xfId="0" applyNumberFormat="1" applyFont="1" applyFill="1" applyBorder="1" applyAlignment="1">
      <alignment horizontal="center"/>
    </xf>
    <xf numFmtId="0" fontId="8" fillId="3" borderId="4" xfId="0" applyFont="1" applyFill="1" applyBorder="1"/>
    <xf numFmtId="0" fontId="8" fillId="3" borderId="11" xfId="0" applyFont="1" applyFill="1" applyBorder="1"/>
    <xf numFmtId="0" fontId="8" fillId="3" borderId="3" xfId="0" applyFont="1" applyFill="1" applyBorder="1"/>
    <xf numFmtId="49" fontId="6" fillId="3" borderId="4" xfId="0" applyNumberFormat="1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24" fillId="13" borderId="0" xfId="0" applyFont="1" applyFill="1"/>
    <xf numFmtId="0" fontId="25" fillId="13" borderId="0" xfId="0" applyFont="1" applyFill="1"/>
    <xf numFmtId="0" fontId="25" fillId="0" borderId="0" xfId="0" applyFont="1"/>
    <xf numFmtId="0" fontId="25" fillId="0" borderId="0" xfId="0" applyFont="1" applyAlignment="1">
      <alignment horizontal="left"/>
    </xf>
    <xf numFmtId="16" fontId="0" fillId="0" borderId="0" xfId="0" applyNumberFormat="1"/>
    <xf numFmtId="0" fontId="0" fillId="0" borderId="0" xfId="0" applyAlignment="1">
      <alignment horizontal="center"/>
    </xf>
    <xf numFmtId="0" fontId="25" fillId="0" borderId="0" xfId="0" applyFont="1" applyAlignment="1">
      <alignment horizontal="center"/>
    </xf>
    <xf numFmtId="16" fontId="0" fillId="0" borderId="0" xfId="0" applyNumberFormat="1" applyAlignment="1">
      <alignment horizontal="center"/>
    </xf>
    <xf numFmtId="0" fontId="25" fillId="0" borderId="0" xfId="0" applyFont="1" applyAlignment="1">
      <alignment horizontal="right"/>
    </xf>
    <xf numFmtId="16" fontId="25" fillId="0" borderId="0" xfId="0" applyNumberFormat="1" applyFont="1" applyAlignment="1">
      <alignment horizontal="center"/>
    </xf>
    <xf numFmtId="17" fontId="2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25" fillId="13" borderId="0" xfId="0" applyFont="1" applyFill="1" applyAlignment="1">
      <alignment horizontal="left"/>
    </xf>
    <xf numFmtId="0" fontId="24" fillId="13" borderId="0" xfId="0" applyFont="1" applyFill="1" applyAlignment="1">
      <alignment horizontal="left"/>
    </xf>
    <xf numFmtId="0" fontId="0" fillId="13" borderId="0" xfId="0" applyFill="1" applyAlignment="1">
      <alignment horizontal="left"/>
    </xf>
    <xf numFmtId="0" fontId="25" fillId="15" borderId="0" xfId="0" applyFont="1" applyFill="1" applyAlignment="1">
      <alignment horizontal="left"/>
    </xf>
    <xf numFmtId="0" fontId="0" fillId="0" borderId="0" xfId="0" applyAlignment="1">
      <alignment horizontal="right"/>
    </xf>
    <xf numFmtId="0" fontId="0" fillId="15" borderId="0" xfId="0" applyFill="1" applyAlignment="1">
      <alignment horizontal="left"/>
    </xf>
    <xf numFmtId="0" fontId="15" fillId="0" borderId="0" xfId="0" applyFont="1"/>
    <xf numFmtId="0" fontId="16" fillId="17" borderId="4" xfId="0" applyFont="1" applyFill="1" applyBorder="1" applyAlignment="1">
      <alignment vertical="center" wrapText="1"/>
    </xf>
    <xf numFmtId="0" fontId="16" fillId="17" borderId="3" xfId="0" applyFont="1" applyFill="1" applyBorder="1" applyAlignment="1">
      <alignment vertical="center" wrapText="1"/>
    </xf>
    <xf numFmtId="0" fontId="16" fillId="15" borderId="3" xfId="0" applyFont="1" applyFill="1" applyBorder="1" applyAlignment="1">
      <alignment vertical="center" wrapText="1"/>
    </xf>
    <xf numFmtId="0" fontId="16" fillId="18" borderId="3" xfId="0" applyFont="1" applyFill="1" applyBorder="1" applyAlignment="1">
      <alignment vertical="center" wrapText="1"/>
    </xf>
    <xf numFmtId="0" fontId="26" fillId="17" borderId="6" xfId="0" applyFont="1" applyFill="1" applyBorder="1" applyAlignment="1">
      <alignment vertical="center" wrapText="1"/>
    </xf>
    <xf numFmtId="0" fontId="26" fillId="17" borderId="7" xfId="0" applyFont="1" applyFill="1" applyBorder="1" applyAlignment="1">
      <alignment horizontal="right" vertical="center" wrapText="1"/>
    </xf>
    <xf numFmtId="0" fontId="26" fillId="15" borderId="7" xfId="0" applyFont="1" applyFill="1" applyBorder="1" applyAlignment="1">
      <alignment horizontal="right" vertical="center" wrapText="1"/>
    </xf>
    <xf numFmtId="0" fontId="26" fillId="18" borderId="7" xfId="0" applyFont="1" applyFill="1" applyBorder="1" applyAlignment="1">
      <alignment horizontal="right" vertical="center" wrapText="1"/>
    </xf>
    <xf numFmtId="0" fontId="26" fillId="15" borderId="6" xfId="0" applyFont="1" applyFill="1" applyBorder="1" applyAlignment="1">
      <alignment vertical="center" wrapText="1"/>
    </xf>
    <xf numFmtId="0" fontId="16" fillId="16" borderId="3" xfId="0" applyFont="1" applyFill="1" applyBorder="1" applyAlignment="1">
      <alignment vertical="center" wrapText="1"/>
    </xf>
    <xf numFmtId="0" fontId="26" fillId="16" borderId="6" xfId="0" applyFont="1" applyFill="1" applyBorder="1" applyAlignment="1">
      <alignment vertical="center" wrapText="1"/>
    </xf>
    <xf numFmtId="0" fontId="26" fillId="16" borderId="7" xfId="0" applyFont="1" applyFill="1" applyBorder="1" applyAlignment="1">
      <alignment horizontal="right" vertical="center" wrapText="1"/>
    </xf>
    <xf numFmtId="0" fontId="26" fillId="18" borderId="6" xfId="0" applyFont="1" applyFill="1" applyBorder="1" applyAlignment="1">
      <alignment vertical="center" wrapText="1"/>
    </xf>
    <xf numFmtId="0" fontId="27" fillId="0" borderId="0" xfId="0" applyFont="1" applyAlignment="1">
      <alignment vertical="center" wrapText="1"/>
    </xf>
    <xf numFmtId="0" fontId="13" fillId="0" borderId="0" xfId="0" applyFont="1"/>
    <xf numFmtId="0" fontId="27" fillId="0" borderId="12" xfId="0" applyFont="1" applyBorder="1" applyAlignment="1">
      <alignment vertical="center" wrapText="1"/>
    </xf>
    <xf numFmtId="0" fontId="26" fillId="0" borderId="12" xfId="0" applyFont="1" applyBorder="1" applyAlignment="1">
      <alignment horizontal="right" vertical="center" wrapText="1"/>
    </xf>
    <xf numFmtId="0" fontId="27" fillId="0" borderId="12" xfId="0" applyFont="1" applyBorder="1" applyAlignment="1">
      <alignment horizontal="right" vertical="center" wrapText="1"/>
    </xf>
    <xf numFmtId="0" fontId="0" fillId="0" borderId="4" xfId="0" applyBorder="1"/>
    <xf numFmtId="0" fontId="0" fillId="0" borderId="13" xfId="0" applyBorder="1"/>
    <xf numFmtId="0" fontId="0" fillId="0" borderId="14" xfId="0" applyBorder="1"/>
    <xf numFmtId="0" fontId="14" fillId="0" borderId="0" xfId="0" applyFont="1"/>
    <xf numFmtId="0" fontId="0" fillId="0" borderId="15" xfId="0" applyBorder="1"/>
    <xf numFmtId="0" fontId="14" fillId="19" borderId="4" xfId="0" applyFont="1" applyFill="1" applyBorder="1" applyAlignment="1">
      <alignment horizontal="right" vertical="center" wrapText="1"/>
    </xf>
    <xf numFmtId="0" fontId="27" fillId="20" borderId="3" xfId="0" applyFont="1" applyFill="1" applyBorder="1" applyAlignment="1">
      <alignment vertical="center" wrapText="1"/>
    </xf>
    <xf numFmtId="0" fontId="28" fillId="20" borderId="4" xfId="0" applyFont="1" applyFill="1" applyBorder="1" applyAlignment="1">
      <alignment vertical="center" wrapText="1"/>
    </xf>
    <xf numFmtId="0" fontId="27" fillId="19" borderId="6" xfId="0" applyFont="1" applyFill="1" applyBorder="1" applyAlignment="1">
      <alignment horizontal="right" vertical="center" wrapText="1"/>
    </xf>
    <xf numFmtId="0" fontId="27" fillId="20" borderId="7" xfId="0" applyFont="1" applyFill="1" applyBorder="1" applyAlignment="1">
      <alignment vertical="center" wrapText="1"/>
    </xf>
    <xf numFmtId="0" fontId="14" fillId="19" borderId="6" xfId="0" applyFont="1" applyFill="1" applyBorder="1" applyAlignment="1">
      <alignment horizontal="right" vertical="center" wrapText="1"/>
    </xf>
    <xf numFmtId="0" fontId="14" fillId="19" borderId="6" xfId="0" applyFont="1" applyFill="1" applyBorder="1"/>
    <xf numFmtId="0" fontId="27" fillId="20" borderId="4" xfId="0" applyFont="1" applyFill="1" applyBorder="1" applyAlignment="1">
      <alignment vertical="center" wrapText="1"/>
    </xf>
    <xf numFmtId="0" fontId="14" fillId="19" borderId="6" xfId="0" applyFont="1" applyFill="1" applyBorder="1" applyAlignment="1">
      <alignment horizontal="left" vertical="center" wrapText="1"/>
    </xf>
    <xf numFmtId="0" fontId="27" fillId="20" borderId="7" xfId="0" applyFont="1" applyFill="1" applyBorder="1" applyAlignment="1">
      <alignment horizontal="right" vertical="center" wrapText="1"/>
    </xf>
    <xf numFmtId="0" fontId="28" fillId="20" borderId="4" xfId="0" applyFont="1" applyFill="1" applyBorder="1" applyAlignment="1">
      <alignment horizontal="right" vertical="center" wrapText="1"/>
    </xf>
    <xf numFmtId="0" fontId="15" fillId="0" borderId="15" xfId="0" applyFont="1" applyBorder="1"/>
    <xf numFmtId="0" fontId="14" fillId="19" borderId="1" xfId="0" applyFont="1" applyFill="1" applyBorder="1" applyAlignment="1">
      <alignment horizontal="center" vertical="center" wrapText="1"/>
    </xf>
    <xf numFmtId="0" fontId="14" fillId="19" borderId="2" xfId="0" applyFont="1" applyFill="1" applyBorder="1" applyAlignment="1">
      <alignment horizontal="center" vertical="center" wrapText="1"/>
    </xf>
    <xf numFmtId="0" fontId="27" fillId="17" borderId="4" xfId="0" applyFont="1" applyFill="1" applyBorder="1" applyAlignment="1">
      <alignment vertical="center" wrapText="1"/>
    </xf>
    <xf numFmtId="0" fontId="27" fillId="17" borderId="6" xfId="0" applyFont="1" applyFill="1" applyBorder="1" applyAlignment="1">
      <alignment vertical="center" wrapText="1"/>
    </xf>
    <xf numFmtId="0" fontId="13" fillId="21" borderId="4" xfId="0" applyFont="1" applyFill="1" applyBorder="1" applyAlignment="1">
      <alignment horizontal="center"/>
    </xf>
    <xf numFmtId="0" fontId="14" fillId="21" borderId="4" xfId="0" applyFont="1" applyFill="1" applyBorder="1"/>
    <xf numFmtId="0" fontId="14" fillId="22" borderId="8" xfId="0" applyFont="1" applyFill="1" applyBorder="1" applyAlignment="1">
      <alignment horizontal="center"/>
    </xf>
    <xf numFmtId="0" fontId="14" fillId="22" borderId="6" xfId="0" applyFont="1" applyFill="1" applyBorder="1" applyAlignment="1">
      <alignment horizontal="center"/>
    </xf>
    <xf numFmtId="0" fontId="14" fillId="22" borderId="16" xfId="0" applyFont="1" applyFill="1" applyBorder="1" applyAlignment="1">
      <alignment horizontal="center"/>
    </xf>
    <xf numFmtId="0" fontId="14" fillId="22" borderId="17" xfId="0" applyFont="1" applyFill="1" applyBorder="1" applyAlignment="1">
      <alignment horizontal="center"/>
    </xf>
    <xf numFmtId="0" fontId="14" fillId="22" borderId="18" xfId="0" applyFont="1" applyFill="1" applyBorder="1" applyAlignment="1">
      <alignment horizontal="center"/>
    </xf>
    <xf numFmtId="0" fontId="14" fillId="22" borderId="19" xfId="0" applyFont="1" applyFill="1" applyBorder="1" applyAlignment="1">
      <alignment horizontal="center"/>
    </xf>
    <xf numFmtId="0" fontId="14" fillId="22" borderId="7" xfId="0" applyFont="1" applyFill="1" applyBorder="1" applyAlignment="1">
      <alignment horizontal="center"/>
    </xf>
    <xf numFmtId="0" fontId="14" fillId="0" borderId="8" xfId="0" applyFont="1" applyBorder="1"/>
    <xf numFmtId="0" fontId="0" fillId="0" borderId="20" xfId="0" applyBorder="1"/>
    <xf numFmtId="0" fontId="0" fillId="0" borderId="21" xfId="0" applyBorder="1"/>
    <xf numFmtId="1" fontId="0" fillId="0" borderId="22" xfId="0" applyNumberFormat="1" applyBorder="1"/>
    <xf numFmtId="1" fontId="0" fillId="0" borderId="23" xfId="0" applyNumberFormat="1" applyBorder="1"/>
    <xf numFmtId="1" fontId="0" fillId="0" borderId="15" xfId="0" applyNumberFormat="1" applyBorder="1"/>
    <xf numFmtId="2" fontId="0" fillId="0" borderId="24" xfId="0" applyNumberFormat="1" applyBorder="1"/>
    <xf numFmtId="2" fontId="0" fillId="0" borderId="15" xfId="0" applyNumberFormat="1" applyBorder="1"/>
    <xf numFmtId="0" fontId="14" fillId="0" borderId="16" xfId="0" applyFont="1" applyBorder="1"/>
    <xf numFmtId="0" fontId="0" fillId="0" borderId="24" xfId="0" applyBorder="1"/>
    <xf numFmtId="0" fontId="14" fillId="0" borderId="17" xfId="0" applyFont="1" applyBorder="1"/>
    <xf numFmtId="0" fontId="14" fillId="0" borderId="18" xfId="0" applyFont="1" applyBorder="1"/>
    <xf numFmtId="0" fontId="14" fillId="0" borderId="3" xfId="0" applyFont="1" applyBorder="1"/>
    <xf numFmtId="0" fontId="30" fillId="0" borderId="0" xfId="0" applyFont="1"/>
    <xf numFmtId="0" fontId="31" fillId="0" borderId="0" xfId="0" applyFont="1" applyAlignment="1">
      <alignment vertical="center"/>
    </xf>
    <xf numFmtId="0" fontId="14" fillId="0" borderId="4" xfId="0" applyFont="1" applyBorder="1"/>
    <xf numFmtId="0" fontId="27" fillId="6" borderId="0" xfId="0" applyFont="1" applyFill="1" applyAlignment="1">
      <alignment vertical="center" wrapText="1"/>
    </xf>
    <xf numFmtId="0" fontId="14" fillId="0" borderId="1" xfId="0" applyFont="1" applyBorder="1"/>
    <xf numFmtId="2" fontId="0" fillId="0" borderId="4" xfId="0" applyNumberFormat="1" applyBorder="1"/>
    <xf numFmtId="0" fontId="32" fillId="3" borderId="4" xfId="0" applyFont="1" applyFill="1" applyBorder="1" applyAlignment="1">
      <alignment horizontal="center"/>
    </xf>
    <xf numFmtId="0" fontId="32" fillId="3" borderId="1" xfId="0" applyFont="1" applyFill="1" applyBorder="1"/>
    <xf numFmtId="0" fontId="32" fillId="3" borderId="4" xfId="0" applyFont="1" applyFill="1" applyBorder="1"/>
    <xf numFmtId="0" fontId="32" fillId="3" borderId="2" xfId="0" applyFont="1" applyFill="1" applyBorder="1"/>
    <xf numFmtId="0" fontId="32" fillId="3" borderId="5" xfId="0" applyFont="1" applyFill="1" applyBorder="1" applyAlignment="1">
      <alignment vertical="center" wrapText="1"/>
    </xf>
    <xf numFmtId="0" fontId="32" fillId="3" borderId="6" xfId="0" applyFont="1" applyFill="1" applyBorder="1" applyAlignment="1">
      <alignment vertical="center" wrapText="1"/>
    </xf>
    <xf numFmtId="0" fontId="32" fillId="3" borderId="4" xfId="0" applyFont="1" applyFill="1" applyBorder="1" applyAlignment="1">
      <alignment vertical="center" wrapText="1"/>
    </xf>
    <xf numFmtId="0" fontId="32" fillId="3" borderId="4" xfId="0" applyFont="1" applyFill="1" applyBorder="1" applyAlignment="1">
      <alignment horizontal="center" vertical="center" wrapText="1"/>
    </xf>
    <xf numFmtId="0" fontId="32" fillId="3" borderId="7" xfId="0" applyFont="1" applyFill="1" applyBorder="1" applyAlignment="1">
      <alignment horizontal="center" vertical="center" wrapText="1"/>
    </xf>
    <xf numFmtId="0" fontId="34" fillId="3" borderId="8" xfId="0" applyFont="1" applyFill="1" applyBorder="1"/>
    <xf numFmtId="49" fontId="34" fillId="3" borderId="8" xfId="0" applyNumberFormat="1" applyFont="1" applyFill="1" applyBorder="1"/>
    <xf numFmtId="0" fontId="34" fillId="3" borderId="9" xfId="0" applyFont="1" applyFill="1" applyBorder="1"/>
    <xf numFmtId="0" fontId="34" fillId="3" borderId="10" xfId="0" applyFont="1" applyFill="1" applyBorder="1"/>
    <xf numFmtId="0" fontId="34" fillId="3" borderId="4" xfId="0" applyFont="1" applyFill="1" applyBorder="1"/>
    <xf numFmtId="0" fontId="32" fillId="3" borderId="4" xfId="0" applyFont="1" applyFill="1" applyBorder="1" applyAlignment="1">
      <alignment horizontal="right"/>
    </xf>
    <xf numFmtId="0" fontId="32" fillId="3" borderId="0" xfId="0" applyFont="1" applyFill="1" applyAlignment="1">
      <alignment horizontal="right"/>
    </xf>
    <xf numFmtId="0" fontId="35" fillId="3" borderId="4" xfId="0" applyFont="1" applyFill="1" applyBorder="1" applyAlignment="1">
      <alignment horizontal="center"/>
    </xf>
    <xf numFmtId="0" fontId="35" fillId="3" borderId="1" xfId="0" applyFont="1" applyFill="1" applyBorder="1"/>
    <xf numFmtId="0" fontId="35" fillId="3" borderId="4" xfId="0" applyFont="1" applyFill="1" applyBorder="1"/>
    <xf numFmtId="0" fontId="35" fillId="3" borderId="2" xfId="0" applyFont="1" applyFill="1" applyBorder="1"/>
    <xf numFmtId="0" fontId="35" fillId="3" borderId="5" xfId="0" applyFont="1" applyFill="1" applyBorder="1" applyAlignment="1">
      <alignment vertical="center" wrapText="1"/>
    </xf>
    <xf numFmtId="0" fontId="35" fillId="3" borderId="6" xfId="0" applyFont="1" applyFill="1" applyBorder="1" applyAlignment="1">
      <alignment vertical="center" wrapText="1"/>
    </xf>
    <xf numFmtId="0" fontId="35" fillId="3" borderId="4" xfId="0" applyFont="1" applyFill="1" applyBorder="1" applyAlignment="1">
      <alignment vertical="center" wrapText="1"/>
    </xf>
    <xf numFmtId="0" fontId="35" fillId="3" borderId="4" xfId="0" applyFont="1" applyFill="1" applyBorder="1" applyAlignment="1">
      <alignment horizontal="center" vertical="center" wrapText="1"/>
    </xf>
    <xf numFmtId="0" fontId="35" fillId="3" borderId="7" xfId="0" applyFont="1" applyFill="1" applyBorder="1" applyAlignment="1">
      <alignment horizontal="center" vertical="center" wrapText="1"/>
    </xf>
    <xf numFmtId="0" fontId="37" fillId="3" borderId="8" xfId="0" applyFont="1" applyFill="1" applyBorder="1"/>
    <xf numFmtId="49" fontId="37" fillId="3" borderId="8" xfId="0" applyNumberFormat="1" applyFont="1" applyFill="1" applyBorder="1"/>
    <xf numFmtId="0" fontId="37" fillId="3" borderId="9" xfId="0" applyFont="1" applyFill="1" applyBorder="1"/>
    <xf numFmtId="0" fontId="37" fillId="3" borderId="10" xfId="0" applyFont="1" applyFill="1" applyBorder="1"/>
    <xf numFmtId="0" fontId="37" fillId="3" borderId="4" xfId="0" applyFont="1" applyFill="1" applyBorder="1"/>
    <xf numFmtId="0" fontId="35" fillId="3" borderId="4" xfId="0" applyFont="1" applyFill="1" applyBorder="1" applyAlignment="1">
      <alignment horizontal="right"/>
    </xf>
    <xf numFmtId="0" fontId="35" fillId="3" borderId="0" xfId="0" applyFont="1" applyFill="1" applyAlignment="1">
      <alignment horizontal="right"/>
    </xf>
    <xf numFmtId="0" fontId="14" fillId="23" borderId="4" xfId="0" applyFont="1" applyFill="1" applyBorder="1" applyAlignment="1">
      <alignment horizontal="center"/>
    </xf>
    <xf numFmtId="0" fontId="14" fillId="23" borderId="1" xfId="0" applyFont="1" applyFill="1" applyBorder="1"/>
    <xf numFmtId="0" fontId="14" fillId="23" borderId="4" xfId="0" applyFont="1" applyFill="1" applyBorder="1"/>
    <xf numFmtId="0" fontId="14" fillId="23" borderId="2" xfId="0" applyFont="1" applyFill="1" applyBorder="1"/>
    <xf numFmtId="0" fontId="14" fillId="23" borderId="5" xfId="0" applyFont="1" applyFill="1" applyBorder="1" applyAlignment="1">
      <alignment vertical="center" wrapText="1"/>
    </xf>
    <xf numFmtId="0" fontId="14" fillId="23" borderId="6" xfId="0" applyFont="1" applyFill="1" applyBorder="1" applyAlignment="1">
      <alignment vertical="center" wrapText="1"/>
    </xf>
    <xf numFmtId="0" fontId="14" fillId="23" borderId="4" xfId="0" applyFont="1" applyFill="1" applyBorder="1" applyAlignment="1">
      <alignment vertical="center" wrapText="1"/>
    </xf>
    <xf numFmtId="0" fontId="14" fillId="23" borderId="4" xfId="0" applyFont="1" applyFill="1" applyBorder="1" applyAlignment="1">
      <alignment horizontal="center" vertical="center" wrapText="1"/>
    </xf>
    <xf numFmtId="0" fontId="14" fillId="23" borderId="7" xfId="0" applyFont="1" applyFill="1" applyBorder="1" applyAlignment="1">
      <alignment horizontal="center" vertical="center" wrapText="1"/>
    </xf>
    <xf numFmtId="0" fontId="15" fillId="23" borderId="8" xfId="0" applyFont="1" applyFill="1" applyBorder="1"/>
    <xf numFmtId="49" fontId="15" fillId="23" borderId="8" xfId="0" applyNumberFormat="1" applyFont="1" applyFill="1" applyBorder="1"/>
    <xf numFmtId="0" fontId="15" fillId="23" borderId="9" xfId="0" applyFont="1" applyFill="1" applyBorder="1"/>
    <xf numFmtId="0" fontId="15" fillId="23" borderId="10" xfId="0" applyFont="1" applyFill="1" applyBorder="1"/>
    <xf numFmtId="0" fontId="15" fillId="23" borderId="4" xfId="0" applyFont="1" applyFill="1" applyBorder="1"/>
    <xf numFmtId="0" fontId="14" fillId="23" borderId="4" xfId="0" applyFont="1" applyFill="1" applyBorder="1" applyAlignment="1">
      <alignment horizontal="right"/>
    </xf>
    <xf numFmtId="0" fontId="14" fillId="23" borderId="0" xfId="0" applyFont="1" applyFill="1" applyAlignment="1">
      <alignment horizontal="right"/>
    </xf>
    <xf numFmtId="0" fontId="21" fillId="3" borderId="4" xfId="0" applyFont="1" applyFill="1" applyBorder="1" applyAlignment="1">
      <alignment horizontal="center"/>
    </xf>
    <xf numFmtId="0" fontId="21" fillId="3" borderId="1" xfId="0" applyFont="1" applyFill="1" applyBorder="1"/>
    <xf numFmtId="0" fontId="21" fillId="3" borderId="4" xfId="0" applyFont="1" applyFill="1" applyBorder="1"/>
    <xf numFmtId="0" fontId="21" fillId="3" borderId="2" xfId="0" applyFont="1" applyFill="1" applyBorder="1"/>
    <xf numFmtId="0" fontId="21" fillId="3" borderId="5" xfId="0" applyFont="1" applyFill="1" applyBorder="1" applyAlignment="1">
      <alignment vertical="center" wrapText="1"/>
    </xf>
    <xf numFmtId="0" fontId="21" fillId="3" borderId="6" xfId="0" applyFont="1" applyFill="1" applyBorder="1" applyAlignment="1">
      <alignment vertical="center" wrapText="1"/>
    </xf>
    <xf numFmtId="0" fontId="21" fillId="3" borderId="4" xfId="0" applyFont="1" applyFill="1" applyBorder="1" applyAlignment="1">
      <alignment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 wrapText="1"/>
    </xf>
    <xf numFmtId="0" fontId="23" fillId="3" borderId="8" xfId="0" applyFont="1" applyFill="1" applyBorder="1"/>
    <xf numFmtId="49" fontId="23" fillId="3" borderId="8" xfId="0" applyNumberFormat="1" applyFont="1" applyFill="1" applyBorder="1"/>
    <xf numFmtId="0" fontId="23" fillId="3" borderId="9" xfId="0" applyFont="1" applyFill="1" applyBorder="1"/>
    <xf numFmtId="0" fontId="23" fillId="3" borderId="10" xfId="0" applyFont="1" applyFill="1" applyBorder="1"/>
    <xf numFmtId="0" fontId="23" fillId="3" borderId="4" xfId="0" applyFont="1" applyFill="1" applyBorder="1"/>
    <xf numFmtId="0" fontId="21" fillId="3" borderId="4" xfId="0" applyFont="1" applyFill="1" applyBorder="1" applyAlignment="1">
      <alignment horizontal="right"/>
    </xf>
    <xf numFmtId="0" fontId="21" fillId="3" borderId="0" xfId="0" applyFont="1" applyFill="1" applyAlignment="1">
      <alignment horizontal="right"/>
    </xf>
    <xf numFmtId="1" fontId="15" fillId="0" borderId="12" xfId="0" applyNumberFormat="1" applyFont="1" applyBorder="1" applyAlignment="1">
      <alignment horizontal="left" vertical="center" wrapText="1"/>
    </xf>
    <xf numFmtId="0" fontId="15" fillId="0" borderId="1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0" fillId="0" borderId="12" xfId="0" applyBorder="1"/>
    <xf numFmtId="0" fontId="15" fillId="0" borderId="12" xfId="0" applyFont="1" applyBorder="1"/>
    <xf numFmtId="0" fontId="13" fillId="0" borderId="12" xfId="0" applyFont="1" applyBorder="1"/>
    <xf numFmtId="0" fontId="14" fillId="0" borderId="0" xfId="0" applyFont="1" applyAlignment="1">
      <alignment horizontal="left"/>
    </xf>
    <xf numFmtId="0" fontId="14" fillId="0" borderId="12" xfId="0" applyFont="1" applyBorder="1" applyAlignment="1">
      <alignment horizontal="left"/>
    </xf>
    <xf numFmtId="0" fontId="3" fillId="9" borderId="4" xfId="0" applyFont="1" applyFill="1" applyBorder="1" applyAlignment="1">
      <alignment horizontal="center"/>
    </xf>
    <xf numFmtId="0" fontId="3" fillId="9" borderId="1" xfId="0" applyFont="1" applyFill="1" applyBorder="1"/>
    <xf numFmtId="0" fontId="3" fillId="9" borderId="4" xfId="0" applyFont="1" applyFill="1" applyBorder="1"/>
    <xf numFmtId="0" fontId="3" fillId="9" borderId="2" xfId="0" applyFont="1" applyFill="1" applyBorder="1"/>
    <xf numFmtId="0" fontId="3" fillId="9" borderId="5" xfId="0" applyFont="1" applyFill="1" applyBorder="1" applyAlignment="1">
      <alignment vertical="center" wrapText="1"/>
    </xf>
    <xf numFmtId="0" fontId="3" fillId="9" borderId="6" xfId="0" applyFont="1" applyFill="1" applyBorder="1" applyAlignment="1">
      <alignment vertical="center" wrapText="1"/>
    </xf>
    <xf numFmtId="0" fontId="3" fillId="9" borderId="4" xfId="0" applyFont="1" applyFill="1" applyBorder="1" applyAlignment="1">
      <alignment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4" fillId="9" borderId="8" xfId="0" applyFont="1" applyFill="1" applyBorder="1"/>
    <xf numFmtId="49" fontId="4" fillId="9" borderId="8" xfId="0" applyNumberFormat="1" applyFont="1" applyFill="1" applyBorder="1"/>
    <xf numFmtId="0" fontId="4" fillId="9" borderId="9" xfId="0" applyFont="1" applyFill="1" applyBorder="1"/>
    <xf numFmtId="0" fontId="4" fillId="9" borderId="10" xfId="0" applyFont="1" applyFill="1" applyBorder="1"/>
    <xf numFmtId="0" fontId="4" fillId="9" borderId="4" xfId="0" applyFont="1" applyFill="1" applyBorder="1"/>
    <xf numFmtId="0" fontId="3" fillId="9" borderId="4" xfId="0" applyFont="1" applyFill="1" applyBorder="1" applyAlignment="1">
      <alignment horizontal="right"/>
    </xf>
    <xf numFmtId="0" fontId="3" fillId="9" borderId="0" xfId="0" applyFont="1" applyFill="1" applyAlignment="1">
      <alignment horizontal="right"/>
    </xf>
    <xf numFmtId="0" fontId="27" fillId="19" borderId="6" xfId="0" applyFont="1" applyFill="1" applyBorder="1" applyAlignment="1">
      <alignment horizontal="left" vertical="center" wrapText="1"/>
    </xf>
    <xf numFmtId="1" fontId="27" fillId="0" borderId="12" xfId="0" applyNumberFormat="1" applyFont="1" applyBorder="1" applyAlignment="1">
      <alignment horizontal="left" vertical="center" wrapText="1"/>
    </xf>
    <xf numFmtId="0" fontId="0" fillId="25" borderId="0" xfId="0" applyFill="1" applyAlignment="1">
      <alignment horizontal="center"/>
    </xf>
    <xf numFmtId="0" fontId="25" fillId="25" borderId="0" xfId="0" applyFont="1" applyFill="1" applyAlignment="1">
      <alignment horizontal="center"/>
    </xf>
    <xf numFmtId="0" fontId="0" fillId="26" borderId="0" xfId="0" applyFill="1" applyAlignment="1">
      <alignment horizontal="center"/>
    </xf>
    <xf numFmtId="0" fontId="25" fillId="26" borderId="0" xfId="0" applyFont="1" applyFill="1" applyAlignment="1">
      <alignment horizontal="center"/>
    </xf>
    <xf numFmtId="0" fontId="44" fillId="10" borderId="4" xfId="0" applyFont="1" applyFill="1" applyBorder="1" applyAlignment="1">
      <alignment horizontal="center"/>
    </xf>
    <xf numFmtId="0" fontId="44" fillId="10" borderId="1" xfId="0" applyFont="1" applyFill="1" applyBorder="1"/>
    <xf numFmtId="0" fontId="44" fillId="10" borderId="4" xfId="0" applyFont="1" applyFill="1" applyBorder="1"/>
    <xf numFmtId="0" fontId="44" fillId="10" borderId="2" xfId="0" applyFont="1" applyFill="1" applyBorder="1"/>
    <xf numFmtId="0" fontId="44" fillId="10" borderId="5" xfId="0" applyFont="1" applyFill="1" applyBorder="1" applyAlignment="1">
      <alignment vertical="center" wrapText="1"/>
    </xf>
    <xf numFmtId="0" fontId="44" fillId="10" borderId="6" xfId="0" applyFont="1" applyFill="1" applyBorder="1" applyAlignment="1">
      <alignment vertical="center" wrapText="1"/>
    </xf>
    <xf numFmtId="0" fontId="44" fillId="10" borderId="4" xfId="0" applyFont="1" applyFill="1" applyBorder="1" applyAlignment="1">
      <alignment vertical="center" wrapText="1"/>
    </xf>
    <xf numFmtId="0" fontId="44" fillId="10" borderId="4" xfId="0" applyFont="1" applyFill="1" applyBorder="1" applyAlignment="1">
      <alignment horizontal="center" vertical="center" wrapText="1"/>
    </xf>
    <xf numFmtId="0" fontId="44" fillId="10" borderId="7" xfId="0" applyFont="1" applyFill="1" applyBorder="1" applyAlignment="1">
      <alignment horizontal="center" vertical="center" wrapText="1"/>
    </xf>
    <xf numFmtId="0" fontId="46" fillId="10" borderId="8" xfId="0" applyFont="1" applyFill="1" applyBorder="1"/>
    <xf numFmtId="49" fontId="46" fillId="10" borderId="8" xfId="0" applyNumberFormat="1" applyFont="1" applyFill="1" applyBorder="1"/>
    <xf numFmtId="0" fontId="46" fillId="10" borderId="9" xfId="0" applyFont="1" applyFill="1" applyBorder="1"/>
    <xf numFmtId="0" fontId="46" fillId="10" borderId="10" xfId="0" applyFont="1" applyFill="1" applyBorder="1"/>
    <xf numFmtId="0" fontId="46" fillId="10" borderId="4" xfId="0" applyFont="1" applyFill="1" applyBorder="1"/>
    <xf numFmtId="0" fontId="44" fillId="10" borderId="4" xfId="0" applyFont="1" applyFill="1" applyBorder="1" applyAlignment="1">
      <alignment horizontal="right"/>
    </xf>
    <xf numFmtId="0" fontId="44" fillId="10" borderId="0" xfId="0" applyFont="1" applyFill="1" applyAlignment="1">
      <alignment horizontal="right"/>
    </xf>
    <xf numFmtId="0" fontId="14" fillId="21" borderId="4" xfId="0" applyFont="1" applyFill="1" applyBorder="1" applyAlignment="1">
      <alignment vertical="center"/>
    </xf>
    <xf numFmtId="164" fontId="0" fillId="0" borderId="4" xfId="0" applyNumberFormat="1" applyBorder="1"/>
    <xf numFmtId="0" fontId="14" fillId="17" borderId="6" xfId="0" applyFont="1" applyFill="1" applyBorder="1" applyAlignment="1">
      <alignment vertical="center" wrapText="1"/>
    </xf>
    <xf numFmtId="0" fontId="14" fillId="19" borderId="4" xfId="0" applyFont="1" applyFill="1" applyBorder="1" applyAlignment="1">
      <alignment horizontal="left" vertical="center" wrapText="1"/>
    </xf>
    <xf numFmtId="0" fontId="3" fillId="3" borderId="1" xfId="0" applyFont="1" applyFill="1" applyBorder="1"/>
    <xf numFmtId="0" fontId="3" fillId="3" borderId="4" xfId="0" applyFont="1" applyFill="1" applyBorder="1"/>
    <xf numFmtId="0" fontId="3" fillId="3" borderId="2" xfId="0" applyFont="1" applyFill="1" applyBorder="1"/>
    <xf numFmtId="0" fontId="3" fillId="2" borderId="1" xfId="0" applyFont="1" applyFill="1" applyBorder="1"/>
    <xf numFmtId="0" fontId="3" fillId="2" borderId="4" xfId="0" applyFont="1" applyFill="1" applyBorder="1"/>
    <xf numFmtId="0" fontId="3" fillId="2" borderId="2" xfId="0" applyFont="1" applyFill="1" applyBorder="1"/>
    <xf numFmtId="0" fontId="4" fillId="2" borderId="16" xfId="0" applyFont="1" applyFill="1" applyBorder="1"/>
    <xf numFmtId="0" fontId="4" fillId="3" borderId="16" xfId="0" applyFont="1" applyFill="1" applyBorder="1"/>
    <xf numFmtId="49" fontId="3" fillId="2" borderId="4" xfId="0" applyNumberFormat="1" applyFont="1" applyFill="1" applyBorder="1" applyAlignment="1">
      <alignment horizontal="center"/>
    </xf>
    <xf numFmtId="49" fontId="25" fillId="0" borderId="0" xfId="0" applyNumberFormat="1" applyFont="1" applyAlignment="1">
      <alignment horizontal="center"/>
    </xf>
    <xf numFmtId="49" fontId="3" fillId="3" borderId="4" xfId="0" applyNumberFormat="1" applyFont="1" applyFill="1" applyBorder="1" applyAlignment="1">
      <alignment horizontal="center"/>
    </xf>
    <xf numFmtId="0" fontId="0" fillId="28" borderId="12" xfId="0" applyFill="1" applyBorder="1"/>
    <xf numFmtId="0" fontId="15" fillId="28" borderId="12" xfId="0" applyFont="1" applyFill="1" applyBorder="1"/>
    <xf numFmtId="0" fontId="13" fillId="28" borderId="12" xfId="0" applyFont="1" applyFill="1" applyBorder="1"/>
    <xf numFmtId="0" fontId="2" fillId="27" borderId="12" xfId="0" applyFont="1" applyFill="1" applyBorder="1" applyAlignment="1">
      <alignment horizontal="center"/>
    </xf>
    <xf numFmtId="0" fontId="4" fillId="27" borderId="12" xfId="0" applyFont="1" applyFill="1" applyBorder="1"/>
    <xf numFmtId="0" fontId="2" fillId="27" borderId="12" xfId="0" applyFont="1" applyFill="1" applyBorder="1"/>
    <xf numFmtId="0" fontId="1" fillId="27" borderId="12" xfId="0" applyFont="1" applyFill="1" applyBorder="1"/>
    <xf numFmtId="0" fontId="48" fillId="0" borderId="0" xfId="0" applyFont="1"/>
    <xf numFmtId="0" fontId="27" fillId="20" borderId="6" xfId="0" applyFont="1" applyFill="1" applyBorder="1" applyAlignment="1">
      <alignment vertical="center" wrapText="1"/>
    </xf>
    <xf numFmtId="0" fontId="14" fillId="19" borderId="6" xfId="0" applyFont="1" applyFill="1" applyBorder="1" applyAlignment="1">
      <alignment wrapText="1"/>
    </xf>
    <xf numFmtId="49" fontId="49" fillId="3" borderId="4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vertical="center" wrapText="1"/>
    </xf>
    <xf numFmtId="49" fontId="10" fillId="3" borderId="4" xfId="0" applyNumberFormat="1" applyFont="1" applyFill="1" applyBorder="1" applyAlignment="1">
      <alignment horizontal="center"/>
    </xf>
    <xf numFmtId="0" fontId="4" fillId="3" borderId="11" xfId="0" applyFont="1" applyFill="1" applyBorder="1"/>
    <xf numFmtId="0" fontId="3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vertical="center" wrapText="1"/>
    </xf>
    <xf numFmtId="49" fontId="10" fillId="2" borderId="4" xfId="0" applyNumberFormat="1" applyFont="1" applyFill="1" applyBorder="1" applyAlignment="1">
      <alignment horizontal="center"/>
    </xf>
    <xf numFmtId="0" fontId="4" fillId="2" borderId="11" xfId="0" applyFont="1" applyFill="1" applyBorder="1"/>
    <xf numFmtId="49" fontId="50" fillId="3" borderId="4" xfId="0" applyNumberFormat="1" applyFont="1" applyFill="1" applyBorder="1" applyAlignment="1">
      <alignment horizontal="center"/>
    </xf>
    <xf numFmtId="1" fontId="3" fillId="4" borderId="3" xfId="0" applyNumberFormat="1" applyFont="1" applyFill="1" applyBorder="1" applyAlignment="1">
      <alignment horizontal="center" vertical="center" wrapText="1"/>
    </xf>
    <xf numFmtId="49" fontId="50" fillId="2" borderId="4" xfId="0" applyNumberFormat="1" applyFont="1" applyFill="1" applyBorder="1" applyAlignment="1">
      <alignment horizontal="center"/>
    </xf>
    <xf numFmtId="0" fontId="14" fillId="19" borderId="6" xfId="0" applyFont="1" applyFill="1" applyBorder="1" applyAlignment="1">
      <alignment vertical="center" wrapText="1"/>
    </xf>
    <xf numFmtId="0" fontId="3" fillId="29" borderId="4" xfId="0" applyFont="1" applyFill="1" applyBorder="1" applyAlignment="1">
      <alignment horizontal="left" vertical="center" wrapText="1"/>
    </xf>
    <xf numFmtId="0" fontId="3" fillId="29" borderId="4" xfId="0" applyFont="1" applyFill="1" applyBorder="1" applyAlignment="1">
      <alignment vertical="center" wrapText="1"/>
    </xf>
    <xf numFmtId="0" fontId="3" fillId="29" borderId="4" xfId="0" applyFont="1" applyFill="1" applyBorder="1" applyAlignment="1">
      <alignment horizontal="center" vertical="center" wrapText="1"/>
    </xf>
    <xf numFmtId="0" fontId="3" fillId="29" borderId="7" xfId="0" applyFont="1" applyFill="1" applyBorder="1" applyAlignment="1">
      <alignment horizontal="center" vertical="center" wrapText="1"/>
    </xf>
    <xf numFmtId="1" fontId="3" fillId="29" borderId="7" xfId="0" applyNumberFormat="1" applyFont="1" applyFill="1" applyBorder="1" applyAlignment="1">
      <alignment horizontal="center" vertical="center" wrapText="1"/>
    </xf>
    <xf numFmtId="1" fontId="4" fillId="29" borderId="7" xfId="0" applyNumberFormat="1" applyFont="1" applyFill="1" applyBorder="1" applyAlignment="1">
      <alignment horizontal="center" vertical="center" wrapText="1"/>
    </xf>
    <xf numFmtId="0" fontId="4" fillId="29" borderId="7" xfId="0" applyFont="1" applyFill="1" applyBorder="1" applyAlignment="1">
      <alignment horizontal="center" vertical="center" wrapText="1"/>
    </xf>
    <xf numFmtId="3" fontId="4" fillId="29" borderId="4" xfId="0" applyNumberFormat="1" applyFont="1" applyFill="1" applyBorder="1" applyAlignment="1">
      <alignment horizontal="right"/>
    </xf>
    <xf numFmtId="49" fontId="10" fillId="29" borderId="4" xfId="0" applyNumberFormat="1" applyFont="1" applyFill="1" applyBorder="1" applyAlignment="1">
      <alignment horizontal="center"/>
    </xf>
    <xf numFmtId="0" fontId="4" fillId="29" borderId="4" xfId="0" applyFont="1" applyFill="1" applyBorder="1"/>
    <xf numFmtId="0" fontId="4" fillId="29" borderId="11" xfId="0" applyFont="1" applyFill="1" applyBorder="1"/>
    <xf numFmtId="0" fontId="4" fillId="29" borderId="3" xfId="0" applyFont="1" applyFill="1" applyBorder="1"/>
    <xf numFmtId="49" fontId="52" fillId="3" borderId="4" xfId="0" applyNumberFormat="1" applyFont="1" applyFill="1" applyBorder="1" applyAlignment="1">
      <alignment horizontal="center"/>
    </xf>
    <xf numFmtId="49" fontId="51" fillId="2" borderId="4" xfId="0" applyNumberFormat="1" applyFont="1" applyFill="1" applyBorder="1" applyAlignment="1">
      <alignment horizontal="center"/>
    </xf>
    <xf numFmtId="0" fontId="27" fillId="19" borderId="4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left" vertical="center" wrapText="1"/>
    </xf>
    <xf numFmtId="0" fontId="0" fillId="4" borderId="3" xfId="0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wrapText="1"/>
    </xf>
    <xf numFmtId="0" fontId="3" fillId="8" borderId="2" xfId="0" applyFont="1" applyFill="1" applyBorder="1" applyAlignment="1">
      <alignment horizontal="left" wrapText="1"/>
    </xf>
    <xf numFmtId="0" fontId="3" fillId="8" borderId="3" xfId="0" applyFont="1" applyFill="1" applyBorder="1" applyAlignment="1">
      <alignment horizontal="left" wrapText="1"/>
    </xf>
    <xf numFmtId="0" fontId="3" fillId="8" borderId="1" xfId="0" applyFont="1" applyFill="1" applyBorder="1" applyAlignment="1">
      <alignment horizontal="center" wrapText="1"/>
    </xf>
    <xf numFmtId="0" fontId="3" fillId="8" borderId="2" xfId="0" applyFont="1" applyFill="1" applyBorder="1" applyAlignment="1">
      <alignment horizontal="center" wrapText="1"/>
    </xf>
    <xf numFmtId="0" fontId="3" fillId="8" borderId="3" xfId="0" applyFont="1" applyFill="1" applyBorder="1" applyAlignment="1">
      <alignment horizontal="center" wrapText="1"/>
    </xf>
    <xf numFmtId="0" fontId="3" fillId="8" borderId="12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1" fillId="9" borderId="25" xfId="0" applyFont="1" applyFill="1" applyBorder="1"/>
    <xf numFmtId="0" fontId="3" fillId="9" borderId="1" xfId="0" applyFont="1" applyFill="1" applyBorder="1" applyAlignment="1">
      <alignment horizontal="left" wrapText="1"/>
    </xf>
    <xf numFmtId="0" fontId="3" fillId="9" borderId="2" xfId="0" applyFont="1" applyFill="1" applyBorder="1" applyAlignment="1">
      <alignment horizontal="left" wrapText="1"/>
    </xf>
    <xf numFmtId="0" fontId="3" fillId="9" borderId="3" xfId="0" applyFont="1" applyFill="1" applyBorder="1" applyAlignment="1">
      <alignment horizontal="left" wrapText="1"/>
    </xf>
    <xf numFmtId="0" fontId="3" fillId="9" borderId="1" xfId="0" applyFont="1" applyFill="1" applyBorder="1" applyAlignment="1">
      <alignment horizontal="center" wrapText="1"/>
    </xf>
    <xf numFmtId="0" fontId="3" fillId="9" borderId="2" xfId="0" applyFont="1" applyFill="1" applyBorder="1" applyAlignment="1">
      <alignment horizontal="center" wrapText="1"/>
    </xf>
    <xf numFmtId="0" fontId="3" fillId="9" borderId="3" xfId="0" applyFont="1" applyFill="1" applyBorder="1" applyAlignment="1">
      <alignment horizont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39" fillId="3" borderId="25" xfId="0" applyFont="1" applyFill="1" applyBorder="1"/>
    <xf numFmtId="0" fontId="32" fillId="3" borderId="1" xfId="0" applyFont="1" applyFill="1" applyBorder="1" applyAlignment="1">
      <alignment horizontal="left" wrapText="1"/>
    </xf>
    <xf numFmtId="0" fontId="32" fillId="3" borderId="2" xfId="0" applyFont="1" applyFill="1" applyBorder="1" applyAlignment="1">
      <alignment horizontal="left" wrapText="1"/>
    </xf>
    <xf numFmtId="0" fontId="32" fillId="3" borderId="3" xfId="0" applyFont="1" applyFill="1" applyBorder="1" applyAlignment="1">
      <alignment horizontal="left" wrapText="1"/>
    </xf>
    <xf numFmtId="0" fontId="32" fillId="3" borderId="1" xfId="0" applyFont="1" applyFill="1" applyBorder="1" applyAlignment="1">
      <alignment horizontal="center" wrapText="1"/>
    </xf>
    <xf numFmtId="0" fontId="32" fillId="3" borderId="2" xfId="0" applyFont="1" applyFill="1" applyBorder="1" applyAlignment="1">
      <alignment horizontal="center" wrapText="1"/>
    </xf>
    <xf numFmtId="0" fontId="32" fillId="3" borderId="3" xfId="0" applyFont="1" applyFill="1" applyBorder="1" applyAlignment="1">
      <alignment horizontal="center" wrapText="1"/>
    </xf>
    <xf numFmtId="0" fontId="32" fillId="3" borderId="1" xfId="0" applyFont="1" applyFill="1" applyBorder="1" applyAlignment="1">
      <alignment horizontal="center" vertical="center" wrapText="1"/>
    </xf>
    <xf numFmtId="0" fontId="32" fillId="3" borderId="2" xfId="0" applyFont="1" applyFill="1" applyBorder="1" applyAlignment="1">
      <alignment horizontal="center" vertical="center" wrapText="1"/>
    </xf>
    <xf numFmtId="0" fontId="32" fillId="3" borderId="3" xfId="0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/>
    </xf>
    <xf numFmtId="0" fontId="33" fillId="3" borderId="2" xfId="0" applyFont="1" applyFill="1" applyBorder="1" applyAlignment="1">
      <alignment horizontal="center"/>
    </xf>
    <xf numFmtId="0" fontId="33" fillId="3" borderId="3" xfId="0" applyFont="1" applyFill="1" applyBorder="1" applyAlignment="1">
      <alignment horizontal="center"/>
    </xf>
    <xf numFmtId="0" fontId="40" fillId="3" borderId="25" xfId="0" applyFont="1" applyFill="1" applyBorder="1"/>
    <xf numFmtId="0" fontId="35" fillId="3" borderId="1" xfId="0" applyFont="1" applyFill="1" applyBorder="1" applyAlignment="1">
      <alignment horizontal="left" wrapText="1"/>
    </xf>
    <xf numFmtId="0" fontId="35" fillId="3" borderId="2" xfId="0" applyFont="1" applyFill="1" applyBorder="1" applyAlignment="1">
      <alignment horizontal="left" wrapText="1"/>
    </xf>
    <xf numFmtId="0" fontId="35" fillId="3" borderId="3" xfId="0" applyFont="1" applyFill="1" applyBorder="1" applyAlignment="1">
      <alignment horizontal="left" wrapText="1"/>
    </xf>
    <xf numFmtId="0" fontId="35" fillId="3" borderId="1" xfId="0" applyFont="1" applyFill="1" applyBorder="1" applyAlignment="1">
      <alignment horizontal="center" wrapText="1"/>
    </xf>
    <xf numFmtId="0" fontId="35" fillId="3" borderId="2" xfId="0" applyFont="1" applyFill="1" applyBorder="1" applyAlignment="1">
      <alignment horizontal="center" wrapText="1"/>
    </xf>
    <xf numFmtId="0" fontId="35" fillId="3" borderId="3" xfId="0" applyFont="1" applyFill="1" applyBorder="1" applyAlignment="1">
      <alignment horizontal="center" wrapText="1"/>
    </xf>
    <xf numFmtId="0" fontId="35" fillId="3" borderId="1" xfId="0" applyFont="1" applyFill="1" applyBorder="1" applyAlignment="1">
      <alignment horizontal="center" vertical="center" wrapText="1"/>
    </xf>
    <xf numFmtId="0" fontId="35" fillId="3" borderId="2" xfId="0" applyFont="1" applyFill="1" applyBorder="1" applyAlignment="1">
      <alignment horizontal="center" vertical="center" wrapText="1"/>
    </xf>
    <xf numFmtId="0" fontId="35" fillId="3" borderId="3" xfId="0" applyFont="1" applyFill="1" applyBorder="1" applyAlignment="1">
      <alignment horizontal="center" vertical="center" wrapText="1"/>
    </xf>
    <xf numFmtId="0" fontId="35" fillId="3" borderId="1" xfId="0" applyFont="1" applyFill="1" applyBorder="1" applyAlignment="1">
      <alignment horizontal="center"/>
    </xf>
    <xf numFmtId="0" fontId="36" fillId="3" borderId="2" xfId="0" applyFont="1" applyFill="1" applyBorder="1" applyAlignment="1">
      <alignment horizontal="center"/>
    </xf>
    <xf numFmtId="0" fontId="36" fillId="3" borderId="3" xfId="0" applyFont="1" applyFill="1" applyBorder="1" applyAlignment="1">
      <alignment horizontal="center"/>
    </xf>
    <xf numFmtId="0" fontId="38" fillId="10" borderId="25" xfId="0" applyFont="1" applyFill="1" applyBorder="1"/>
    <xf numFmtId="0" fontId="44" fillId="10" borderId="1" xfId="0" applyFont="1" applyFill="1" applyBorder="1" applyAlignment="1">
      <alignment horizontal="left" wrapText="1"/>
    </xf>
    <xf numFmtId="0" fontId="44" fillId="10" borderId="2" xfId="0" applyFont="1" applyFill="1" applyBorder="1" applyAlignment="1">
      <alignment horizontal="left" wrapText="1"/>
    </xf>
    <xf numFmtId="0" fontId="44" fillId="10" borderId="3" xfId="0" applyFont="1" applyFill="1" applyBorder="1" applyAlignment="1">
      <alignment horizontal="left" wrapText="1"/>
    </xf>
    <xf numFmtId="0" fontId="44" fillId="10" borderId="1" xfId="0" applyFont="1" applyFill="1" applyBorder="1" applyAlignment="1">
      <alignment horizontal="center" wrapText="1"/>
    </xf>
    <xf numFmtId="0" fontId="44" fillId="10" borderId="2" xfId="0" applyFont="1" applyFill="1" applyBorder="1" applyAlignment="1">
      <alignment horizontal="center" wrapText="1"/>
    </xf>
    <xf numFmtId="0" fontId="44" fillId="10" borderId="3" xfId="0" applyFont="1" applyFill="1" applyBorder="1" applyAlignment="1">
      <alignment horizontal="center" wrapText="1"/>
    </xf>
    <xf numFmtId="0" fontId="44" fillId="10" borderId="1" xfId="0" applyFont="1" applyFill="1" applyBorder="1" applyAlignment="1">
      <alignment horizontal="center" vertical="center" wrapText="1"/>
    </xf>
    <xf numFmtId="0" fontId="44" fillId="10" borderId="2" xfId="0" applyFont="1" applyFill="1" applyBorder="1" applyAlignment="1">
      <alignment horizontal="center" vertical="center" wrapText="1"/>
    </xf>
    <xf numFmtId="0" fontId="44" fillId="10" borderId="3" xfId="0" applyFont="1" applyFill="1" applyBorder="1" applyAlignment="1">
      <alignment horizontal="center" vertical="center" wrapText="1"/>
    </xf>
    <xf numFmtId="0" fontId="44" fillId="10" borderId="1" xfId="0" applyFont="1" applyFill="1" applyBorder="1" applyAlignment="1">
      <alignment horizontal="center"/>
    </xf>
    <xf numFmtId="0" fontId="45" fillId="10" borderId="2" xfId="0" applyFont="1" applyFill="1" applyBorder="1" applyAlignment="1">
      <alignment horizontal="center"/>
    </xf>
    <xf numFmtId="0" fontId="45" fillId="10" borderId="3" xfId="0" applyFont="1" applyFill="1" applyBorder="1" applyAlignment="1">
      <alignment horizontal="center"/>
    </xf>
    <xf numFmtId="0" fontId="41" fillId="11" borderId="25" xfId="0" applyFont="1" applyFill="1" applyBorder="1"/>
    <xf numFmtId="0" fontId="16" fillId="11" borderId="1" xfId="0" applyFont="1" applyFill="1" applyBorder="1" applyAlignment="1">
      <alignment horizontal="left" wrapText="1"/>
    </xf>
    <xf numFmtId="0" fontId="16" fillId="11" borderId="2" xfId="0" applyFont="1" applyFill="1" applyBorder="1" applyAlignment="1">
      <alignment horizontal="left" wrapText="1"/>
    </xf>
    <xf numFmtId="0" fontId="16" fillId="11" borderId="3" xfId="0" applyFont="1" applyFill="1" applyBorder="1" applyAlignment="1">
      <alignment horizontal="left" wrapText="1"/>
    </xf>
    <xf numFmtId="0" fontId="16" fillId="11" borderId="1" xfId="0" applyFont="1" applyFill="1" applyBorder="1" applyAlignment="1">
      <alignment horizontal="center" wrapText="1"/>
    </xf>
    <xf numFmtId="0" fontId="16" fillId="11" borderId="2" xfId="0" applyFont="1" applyFill="1" applyBorder="1" applyAlignment="1">
      <alignment horizontal="center" wrapText="1"/>
    </xf>
    <xf numFmtId="0" fontId="16" fillId="11" borderId="3" xfId="0" applyFont="1" applyFill="1" applyBorder="1" applyAlignment="1">
      <alignment horizontal="center" wrapText="1"/>
    </xf>
    <xf numFmtId="0" fontId="16" fillId="11" borderId="1" xfId="0" applyFont="1" applyFill="1" applyBorder="1" applyAlignment="1">
      <alignment horizontal="center" vertical="center" wrapText="1"/>
    </xf>
    <xf numFmtId="0" fontId="16" fillId="11" borderId="2" xfId="0" applyFont="1" applyFill="1" applyBorder="1" applyAlignment="1">
      <alignment horizontal="center" vertical="center" wrapText="1"/>
    </xf>
    <xf numFmtId="0" fontId="16" fillId="11" borderId="3" xfId="0" applyFont="1" applyFill="1" applyBorder="1" applyAlignment="1">
      <alignment horizontal="center" vertical="center" wrapText="1"/>
    </xf>
    <xf numFmtId="0" fontId="16" fillId="11" borderId="1" xfId="0" applyFont="1" applyFill="1" applyBorder="1" applyAlignment="1">
      <alignment horizontal="center"/>
    </xf>
    <xf numFmtId="0" fontId="12" fillId="11" borderId="2" xfId="0" applyFont="1" applyFill="1" applyBorder="1" applyAlignment="1">
      <alignment horizontal="center"/>
    </xf>
    <xf numFmtId="0" fontId="12" fillId="11" borderId="3" xfId="0" applyFont="1" applyFill="1" applyBorder="1" applyAlignment="1">
      <alignment horizontal="center"/>
    </xf>
    <xf numFmtId="0" fontId="1" fillId="7" borderId="25" xfId="0" applyFont="1" applyFill="1" applyBorder="1"/>
    <xf numFmtId="0" fontId="3" fillId="7" borderId="1" xfId="0" applyFont="1" applyFill="1" applyBorder="1" applyAlignment="1">
      <alignment horizontal="left" wrapText="1"/>
    </xf>
    <xf numFmtId="0" fontId="3" fillId="7" borderId="2" xfId="0" applyFont="1" applyFill="1" applyBorder="1" applyAlignment="1">
      <alignment horizontal="left" wrapText="1"/>
    </xf>
    <xf numFmtId="0" fontId="3" fillId="7" borderId="3" xfId="0" applyFont="1" applyFill="1" applyBorder="1" applyAlignment="1">
      <alignment horizontal="left" wrapText="1"/>
    </xf>
    <xf numFmtId="0" fontId="3" fillId="7" borderId="1" xfId="0" applyFont="1" applyFill="1" applyBorder="1" applyAlignment="1">
      <alignment horizontal="center" wrapText="1"/>
    </xf>
    <xf numFmtId="0" fontId="3" fillId="7" borderId="2" xfId="0" applyFont="1" applyFill="1" applyBorder="1" applyAlignment="1">
      <alignment horizontal="center" wrapText="1"/>
    </xf>
    <xf numFmtId="0" fontId="3" fillId="7" borderId="3" xfId="0" applyFont="1" applyFill="1" applyBorder="1" applyAlignment="1">
      <alignment horizont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1" fillId="24" borderId="25" xfId="0" applyFont="1" applyFill="1" applyBorder="1"/>
    <xf numFmtId="0" fontId="3" fillId="12" borderId="1" xfId="0" applyFont="1" applyFill="1" applyBorder="1" applyAlignment="1">
      <alignment horizontal="left" wrapText="1"/>
    </xf>
    <xf numFmtId="0" fontId="3" fillId="12" borderId="2" xfId="0" applyFont="1" applyFill="1" applyBorder="1" applyAlignment="1">
      <alignment horizontal="left" wrapText="1"/>
    </xf>
    <xf numFmtId="0" fontId="3" fillId="12" borderId="3" xfId="0" applyFont="1" applyFill="1" applyBorder="1" applyAlignment="1">
      <alignment horizontal="left" wrapText="1"/>
    </xf>
    <xf numFmtId="0" fontId="3" fillId="12" borderId="1" xfId="0" applyFont="1" applyFill="1" applyBorder="1" applyAlignment="1">
      <alignment horizontal="center" wrapText="1"/>
    </xf>
    <xf numFmtId="0" fontId="3" fillId="12" borderId="2" xfId="0" applyFont="1" applyFill="1" applyBorder="1" applyAlignment="1">
      <alignment horizontal="center" wrapText="1"/>
    </xf>
    <xf numFmtId="0" fontId="3" fillId="12" borderId="3" xfId="0" applyFont="1" applyFill="1" applyBorder="1" applyAlignment="1">
      <alignment horizontal="center" wrapText="1"/>
    </xf>
    <xf numFmtId="0" fontId="3" fillId="12" borderId="1" xfId="0" applyFont="1" applyFill="1" applyBorder="1" applyAlignment="1">
      <alignment horizontal="center" vertical="center" wrapText="1"/>
    </xf>
    <xf numFmtId="0" fontId="3" fillId="12" borderId="2" xfId="0" applyFont="1" applyFill="1" applyBorder="1" applyAlignment="1">
      <alignment horizontal="center" vertical="center" wrapText="1"/>
    </xf>
    <xf numFmtId="0" fontId="3" fillId="12" borderId="3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38" fillId="11" borderId="25" xfId="0" applyFont="1" applyFill="1" applyBorder="1"/>
    <xf numFmtId="0" fontId="18" fillId="11" borderId="1" xfId="0" applyFont="1" applyFill="1" applyBorder="1" applyAlignment="1">
      <alignment horizontal="left" wrapText="1"/>
    </xf>
    <xf numFmtId="0" fontId="18" fillId="11" borderId="2" xfId="0" applyFont="1" applyFill="1" applyBorder="1" applyAlignment="1">
      <alignment horizontal="left" wrapText="1"/>
    </xf>
    <xf numFmtId="0" fontId="18" fillId="11" borderId="3" xfId="0" applyFont="1" applyFill="1" applyBorder="1" applyAlignment="1">
      <alignment horizontal="left" wrapText="1"/>
    </xf>
    <xf numFmtId="0" fontId="18" fillId="11" borderId="1" xfId="0" applyFont="1" applyFill="1" applyBorder="1" applyAlignment="1">
      <alignment horizontal="center" wrapText="1"/>
    </xf>
    <xf numFmtId="0" fontId="18" fillId="11" borderId="2" xfId="0" applyFont="1" applyFill="1" applyBorder="1" applyAlignment="1">
      <alignment horizontal="center" wrapText="1"/>
    </xf>
    <xf numFmtId="0" fontId="18" fillId="11" borderId="3" xfId="0" applyFont="1" applyFill="1" applyBorder="1" applyAlignment="1">
      <alignment horizontal="center" wrapText="1"/>
    </xf>
    <xf numFmtId="0" fontId="18" fillId="11" borderId="1" xfId="0" applyFont="1" applyFill="1" applyBorder="1" applyAlignment="1">
      <alignment horizontal="center" vertical="center" wrapText="1"/>
    </xf>
    <xf numFmtId="0" fontId="18" fillId="11" borderId="2" xfId="0" applyFont="1" applyFill="1" applyBorder="1" applyAlignment="1">
      <alignment horizontal="center" vertical="center" wrapText="1"/>
    </xf>
    <xf numFmtId="0" fontId="18" fillId="11" borderId="3" xfId="0" applyFont="1" applyFill="1" applyBorder="1" applyAlignment="1">
      <alignment horizontal="center" vertical="center" wrapText="1"/>
    </xf>
    <xf numFmtId="0" fontId="18" fillId="11" borderId="1" xfId="0" applyFont="1" applyFill="1" applyBorder="1" applyAlignment="1">
      <alignment horizontal="center"/>
    </xf>
    <xf numFmtId="0" fontId="19" fillId="11" borderId="2" xfId="0" applyFont="1" applyFill="1" applyBorder="1" applyAlignment="1">
      <alignment horizontal="center"/>
    </xf>
    <xf numFmtId="0" fontId="19" fillId="11" borderId="3" xfId="0" applyFont="1" applyFill="1" applyBorder="1" applyAlignment="1">
      <alignment horizontal="center"/>
    </xf>
    <xf numFmtId="0" fontId="13" fillId="23" borderId="25" xfId="0" applyFont="1" applyFill="1" applyBorder="1"/>
    <xf numFmtId="0" fontId="14" fillId="23" borderId="1" xfId="0" applyFont="1" applyFill="1" applyBorder="1" applyAlignment="1">
      <alignment horizontal="left" wrapText="1"/>
    </xf>
    <xf numFmtId="0" fontId="14" fillId="23" borderId="2" xfId="0" applyFont="1" applyFill="1" applyBorder="1" applyAlignment="1">
      <alignment horizontal="left" wrapText="1"/>
    </xf>
    <xf numFmtId="0" fontId="14" fillId="23" borderId="3" xfId="0" applyFont="1" applyFill="1" applyBorder="1" applyAlignment="1">
      <alignment horizontal="left" wrapText="1"/>
    </xf>
    <xf numFmtId="0" fontId="14" fillId="23" borderId="1" xfId="0" applyFont="1" applyFill="1" applyBorder="1" applyAlignment="1">
      <alignment horizontal="center" wrapText="1"/>
    </xf>
    <xf numFmtId="0" fontId="14" fillId="23" borderId="2" xfId="0" applyFont="1" applyFill="1" applyBorder="1" applyAlignment="1">
      <alignment horizontal="center" wrapText="1"/>
    </xf>
    <xf numFmtId="0" fontId="14" fillId="23" borderId="3" xfId="0" applyFont="1" applyFill="1" applyBorder="1" applyAlignment="1">
      <alignment horizontal="center" wrapText="1"/>
    </xf>
    <xf numFmtId="0" fontId="14" fillId="23" borderId="1" xfId="0" applyFont="1" applyFill="1" applyBorder="1" applyAlignment="1">
      <alignment horizontal="center" vertical="center" wrapText="1"/>
    </xf>
    <xf numFmtId="0" fontId="14" fillId="23" borderId="2" xfId="0" applyFont="1" applyFill="1" applyBorder="1" applyAlignment="1">
      <alignment horizontal="center" vertical="center" wrapText="1"/>
    </xf>
    <xf numFmtId="0" fontId="14" fillId="23" borderId="3" xfId="0" applyFont="1" applyFill="1" applyBorder="1" applyAlignment="1">
      <alignment horizontal="center" vertical="center" wrapText="1"/>
    </xf>
    <xf numFmtId="0" fontId="14" fillId="23" borderId="1" xfId="0" applyFont="1" applyFill="1" applyBorder="1" applyAlignment="1">
      <alignment horizontal="center"/>
    </xf>
    <xf numFmtId="0" fontId="0" fillId="23" borderId="2" xfId="0" applyFill="1" applyBorder="1" applyAlignment="1">
      <alignment horizontal="center"/>
    </xf>
    <xf numFmtId="0" fontId="0" fillId="23" borderId="3" xfId="0" applyFill="1" applyBorder="1" applyAlignment="1">
      <alignment horizontal="center"/>
    </xf>
    <xf numFmtId="0" fontId="42" fillId="3" borderId="25" xfId="0" applyFont="1" applyFill="1" applyBorder="1"/>
    <xf numFmtId="0" fontId="21" fillId="3" borderId="1" xfId="0" applyFont="1" applyFill="1" applyBorder="1" applyAlignment="1">
      <alignment horizontal="left" wrapText="1"/>
    </xf>
    <xf numFmtId="0" fontId="21" fillId="3" borderId="2" xfId="0" applyFont="1" applyFill="1" applyBorder="1" applyAlignment="1">
      <alignment horizontal="left" wrapText="1"/>
    </xf>
    <xf numFmtId="0" fontId="21" fillId="3" borderId="3" xfId="0" applyFont="1" applyFill="1" applyBorder="1" applyAlignment="1">
      <alignment horizontal="left" wrapText="1"/>
    </xf>
    <xf numFmtId="0" fontId="21" fillId="3" borderId="1" xfId="0" applyFont="1" applyFill="1" applyBorder="1" applyAlignment="1">
      <alignment horizontal="center" wrapText="1"/>
    </xf>
    <xf numFmtId="0" fontId="21" fillId="3" borderId="2" xfId="0" applyFont="1" applyFill="1" applyBorder="1" applyAlignment="1">
      <alignment horizontal="center" wrapText="1"/>
    </xf>
    <xf numFmtId="0" fontId="21" fillId="3" borderId="3" xfId="0" applyFont="1" applyFill="1" applyBorder="1" applyAlignment="1">
      <alignment horizontal="center" wrapText="1"/>
    </xf>
    <xf numFmtId="0" fontId="21" fillId="3" borderId="1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/>
    </xf>
    <xf numFmtId="0" fontId="22" fillId="3" borderId="2" xfId="0" applyFont="1" applyFill="1" applyBorder="1" applyAlignment="1">
      <alignment horizontal="center"/>
    </xf>
    <xf numFmtId="0" fontId="22" fillId="3" borderId="3" xfId="0" applyFont="1" applyFill="1" applyBorder="1" applyAlignment="1">
      <alignment horizontal="center"/>
    </xf>
    <xf numFmtId="0" fontId="41" fillId="3" borderId="25" xfId="0" applyFont="1" applyFill="1" applyBorder="1"/>
    <xf numFmtId="0" fontId="16" fillId="3" borderId="1" xfId="0" applyFont="1" applyFill="1" applyBorder="1" applyAlignment="1">
      <alignment horizontal="left" wrapText="1"/>
    </xf>
    <xf numFmtId="0" fontId="16" fillId="3" borderId="2" xfId="0" applyFont="1" applyFill="1" applyBorder="1" applyAlignment="1">
      <alignment horizontal="left" wrapText="1"/>
    </xf>
    <xf numFmtId="0" fontId="16" fillId="3" borderId="3" xfId="0" applyFont="1" applyFill="1" applyBorder="1" applyAlignment="1">
      <alignment horizontal="left" wrapText="1"/>
    </xf>
    <xf numFmtId="0" fontId="16" fillId="3" borderId="1" xfId="0" applyFont="1" applyFill="1" applyBorder="1" applyAlignment="1">
      <alignment horizontal="center" wrapText="1"/>
    </xf>
    <xf numFmtId="0" fontId="16" fillId="3" borderId="2" xfId="0" applyFont="1" applyFill="1" applyBorder="1" applyAlignment="1">
      <alignment horizontal="center" wrapText="1"/>
    </xf>
    <xf numFmtId="0" fontId="16" fillId="3" borderId="3" xfId="0" applyFont="1" applyFill="1" applyBorder="1" applyAlignment="1">
      <alignment horizont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25" fillId="0" borderId="0" xfId="0" applyFont="1" applyAlignment="1">
      <alignment horizontal="left"/>
    </xf>
    <xf numFmtId="0" fontId="0" fillId="0" borderId="0" xfId="0" applyAlignment="1">
      <alignment horizontal="left"/>
    </xf>
    <xf numFmtId="0" fontId="24" fillId="14" borderId="0" xfId="0" applyFont="1" applyFill="1" applyAlignment="1">
      <alignment horizontal="left"/>
    </xf>
    <xf numFmtId="0" fontId="0" fillId="13" borderId="0" xfId="0" applyFill="1" applyAlignment="1">
      <alignment horizontal="left"/>
    </xf>
    <xf numFmtId="0" fontId="25" fillId="13" borderId="0" xfId="0" applyFont="1" applyFill="1"/>
    <xf numFmtId="0" fontId="25" fillId="0" borderId="0" xfId="0" applyFont="1"/>
    <xf numFmtId="0" fontId="0" fillId="0" borderId="0" xfId="0"/>
    <xf numFmtId="0" fontId="24" fillId="13" borderId="0" xfId="0" applyFont="1" applyFill="1"/>
    <xf numFmtId="0" fontId="24" fillId="13" borderId="0" xfId="0" applyFont="1" applyFill="1" applyAlignment="1">
      <alignment horizontal="left"/>
    </xf>
    <xf numFmtId="0" fontId="25" fillId="13" borderId="0" xfId="0" applyFont="1" applyFill="1" applyAlignment="1">
      <alignment horizontal="left"/>
    </xf>
    <xf numFmtId="0" fontId="24" fillId="0" borderId="0" xfId="0" applyFont="1" applyAlignment="1">
      <alignment horizontal="center"/>
    </xf>
    <xf numFmtId="0" fontId="14" fillId="0" borderId="0" xfId="0" applyFont="1"/>
    <xf numFmtId="0" fontId="13" fillId="0" borderId="0" xfId="0" applyFont="1"/>
    <xf numFmtId="0" fontId="14" fillId="22" borderId="1" xfId="0" applyFont="1" applyFill="1" applyBorder="1" applyAlignment="1">
      <alignment horizontal="center"/>
    </xf>
    <xf numFmtId="0" fontId="14" fillId="22" borderId="3" xfId="0" applyFont="1" applyFill="1" applyBorder="1" applyAlignment="1">
      <alignment horizontal="center"/>
    </xf>
    <xf numFmtId="0" fontId="14" fillId="22" borderId="2" xfId="0" applyFont="1" applyFill="1" applyBorder="1" applyAlignment="1">
      <alignment horizontal="center"/>
    </xf>
    <xf numFmtId="0" fontId="14" fillId="22" borderId="8" xfId="0" applyFont="1" applyFill="1" applyBorder="1" applyAlignment="1">
      <alignment horizontal="center"/>
    </xf>
    <xf numFmtId="0" fontId="14" fillId="22" borderId="6" xfId="0" applyFont="1" applyFill="1" applyBorder="1" applyAlignment="1">
      <alignment horizontal="center"/>
    </xf>
    <xf numFmtId="0" fontId="14" fillId="20" borderId="1" xfId="0" applyFont="1" applyFill="1" applyBorder="1" applyAlignment="1">
      <alignment horizontal="center" vertical="center" wrapText="1"/>
    </xf>
    <xf numFmtId="0" fontId="14" fillId="20" borderId="3" xfId="0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49" fontId="50" fillId="29" borderId="4" xfId="0" applyNumberFormat="1" applyFont="1" applyFill="1" applyBorder="1" applyAlignment="1">
      <alignment horizontal="center"/>
    </xf>
    <xf numFmtId="17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018EA"/>
      <color rgb="FF5EA790"/>
      <color rgb="FFDED3B2"/>
      <color rgb="FFE7DB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michaelwhatmore/Desktop/URC/Databases/URC%2023-24%20Results%20and%20t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N"/>
      <sheetName val="BUL"/>
      <sheetName val="CAR"/>
      <sheetName val="CON"/>
      <sheetName val="DRA"/>
      <sheetName val="EDI"/>
      <sheetName val="GLA"/>
      <sheetName val="LEIN"/>
      <sheetName val="LIO"/>
      <sheetName val="MUN"/>
      <sheetName val="OSP"/>
      <sheetName val="SCA"/>
      <sheetName val="SHA"/>
      <sheetName val="STO"/>
      <sheetName val="ULS"/>
      <sheetName val="ZEB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C1113-82AC-8C45-A8BA-3C9739FCA6B0}">
  <dimension ref="A1:AQ22"/>
  <sheetViews>
    <sheetView tabSelected="1" zoomScale="80" zoomScaleNormal="80" workbookViewId="0">
      <selection sqref="A1:D1"/>
    </sheetView>
  </sheetViews>
  <sheetFormatPr baseColWidth="10" defaultColWidth="11.5" defaultRowHeight="16" x14ac:dyDescent="0.2"/>
  <cols>
    <col min="1" max="1" width="6.5" bestFit="1" customWidth="1"/>
    <col min="2" max="2" width="6" bestFit="1" customWidth="1"/>
    <col min="3" max="3" width="12" customWidth="1"/>
    <col min="4" max="4" width="4.83203125" customWidth="1"/>
    <col min="5" max="7" width="4.6640625" customWidth="1"/>
    <col min="8" max="18" width="4.83203125" customWidth="1"/>
    <col min="19" max="19" width="7" customWidth="1"/>
    <col min="20" max="20" width="6.83203125" customWidth="1"/>
    <col min="21" max="21" width="24" bestFit="1" customWidth="1"/>
    <col min="22" max="23" width="29" bestFit="1" customWidth="1"/>
    <col min="24" max="24" width="24" bestFit="1" customWidth="1"/>
    <col min="25" max="40" width="4.83203125" customWidth="1"/>
    <col min="42" max="42" width="14.5" style="332" bestFit="1" customWidth="1"/>
  </cols>
  <sheetData>
    <row r="1" spans="1:43" ht="17" thickBot="1" x14ac:dyDescent="0.25">
      <c r="A1" s="433" t="s">
        <v>39</v>
      </c>
      <c r="B1" s="434"/>
      <c r="C1" s="434"/>
      <c r="D1" s="435"/>
      <c r="E1" s="436" t="s">
        <v>0</v>
      </c>
      <c r="F1" s="437"/>
      <c r="G1" s="438"/>
      <c r="H1" s="436" t="s">
        <v>1</v>
      </c>
      <c r="I1" s="438"/>
      <c r="J1" s="428" t="s">
        <v>2</v>
      </c>
      <c r="K1" s="430"/>
      <c r="L1" s="430"/>
      <c r="M1" s="429"/>
      <c r="N1" s="428" t="s">
        <v>3</v>
      </c>
      <c r="O1" s="429"/>
      <c r="P1" s="428" t="s">
        <v>4</v>
      </c>
      <c r="Q1" s="430"/>
      <c r="R1" s="429"/>
      <c r="S1" s="49" t="s">
        <v>5</v>
      </c>
      <c r="T1" s="49" t="s">
        <v>6</v>
      </c>
      <c r="U1" s="50" t="s">
        <v>7</v>
      </c>
      <c r="V1" s="51" t="s">
        <v>8</v>
      </c>
      <c r="W1" s="51" t="s">
        <v>9</v>
      </c>
      <c r="X1" s="52" t="s">
        <v>10</v>
      </c>
      <c r="Y1" s="440" t="s">
        <v>11</v>
      </c>
      <c r="Z1" s="441"/>
      <c r="AA1" s="441"/>
      <c r="AB1" s="442"/>
      <c r="AC1" s="440" t="s">
        <v>12</v>
      </c>
      <c r="AD1" s="441"/>
      <c r="AE1" s="441"/>
      <c r="AF1" s="442"/>
      <c r="AG1" s="440" t="s">
        <v>13</v>
      </c>
      <c r="AH1" s="441"/>
      <c r="AI1" s="441"/>
      <c r="AJ1" s="442"/>
      <c r="AK1" s="440" t="s">
        <v>14</v>
      </c>
      <c r="AL1" s="441"/>
      <c r="AM1" s="441"/>
      <c r="AN1" s="442"/>
      <c r="AP1" s="439" t="s">
        <v>195</v>
      </c>
      <c r="AQ1" s="439"/>
    </row>
    <row r="2" spans="1:43" ht="17" thickBot="1" x14ac:dyDescent="0.25">
      <c r="A2" s="53" t="s">
        <v>15</v>
      </c>
      <c r="B2" s="54" t="s">
        <v>16</v>
      </c>
      <c r="C2" s="55" t="s">
        <v>17</v>
      </c>
      <c r="D2" s="55" t="s">
        <v>18</v>
      </c>
      <c r="E2" s="56" t="s">
        <v>19</v>
      </c>
      <c r="F2" s="56" t="s">
        <v>20</v>
      </c>
      <c r="G2" s="56" t="s">
        <v>21</v>
      </c>
      <c r="H2" s="57" t="s">
        <v>22</v>
      </c>
      <c r="I2" s="57" t="s">
        <v>23</v>
      </c>
      <c r="J2" s="57" t="s">
        <v>24</v>
      </c>
      <c r="K2" s="57" t="s">
        <v>25</v>
      </c>
      <c r="L2" s="57" t="s">
        <v>26</v>
      </c>
      <c r="M2" s="57" t="s">
        <v>27</v>
      </c>
      <c r="N2" s="57" t="s">
        <v>28</v>
      </c>
      <c r="O2" s="57" t="s">
        <v>19</v>
      </c>
      <c r="P2" s="57" t="s">
        <v>22</v>
      </c>
      <c r="Q2" s="57" t="s">
        <v>23</v>
      </c>
      <c r="R2" s="57" t="s">
        <v>24</v>
      </c>
      <c r="S2" s="58"/>
      <c r="T2" s="59"/>
      <c r="U2" s="60"/>
      <c r="V2" s="58"/>
      <c r="W2" s="61"/>
      <c r="X2" s="62"/>
      <c r="Y2" s="63" t="s">
        <v>29</v>
      </c>
      <c r="Z2" s="63" t="s">
        <v>30</v>
      </c>
      <c r="AA2" s="63" t="s">
        <v>26</v>
      </c>
      <c r="AB2" s="63" t="s">
        <v>31</v>
      </c>
      <c r="AC2" s="63" t="s">
        <v>29</v>
      </c>
      <c r="AD2" s="63" t="s">
        <v>30</v>
      </c>
      <c r="AE2" s="63" t="s">
        <v>26</v>
      </c>
      <c r="AF2" s="63" t="s">
        <v>31</v>
      </c>
      <c r="AG2" s="63" t="s">
        <v>29</v>
      </c>
      <c r="AH2" s="63" t="s">
        <v>30</v>
      </c>
      <c r="AI2" s="63" t="s">
        <v>26</v>
      </c>
      <c r="AJ2" s="63" t="s">
        <v>31</v>
      </c>
      <c r="AK2" s="63" t="s">
        <v>29</v>
      </c>
      <c r="AL2" s="63" t="s">
        <v>30</v>
      </c>
      <c r="AM2" s="63" t="s">
        <v>26</v>
      </c>
      <c r="AN2" s="64" t="s">
        <v>31</v>
      </c>
      <c r="AP2" s="333" t="s">
        <v>187</v>
      </c>
      <c r="AQ2" s="329">
        <f>Y20</f>
        <v>16</v>
      </c>
    </row>
    <row r="3" spans="1:43" ht="17" thickBot="1" x14ac:dyDescent="0.25">
      <c r="A3" s="66" t="s">
        <v>45</v>
      </c>
      <c r="B3" s="67" t="s">
        <v>44</v>
      </c>
      <c r="C3" s="68" t="s">
        <v>46</v>
      </c>
      <c r="D3" s="69" t="s">
        <v>47</v>
      </c>
      <c r="E3" s="69" t="s">
        <v>31</v>
      </c>
      <c r="F3" s="69">
        <v>13</v>
      </c>
      <c r="G3" s="70">
        <v>46</v>
      </c>
      <c r="H3" s="71">
        <v>0</v>
      </c>
      <c r="I3" s="72">
        <v>0</v>
      </c>
      <c r="J3" s="72">
        <v>2</v>
      </c>
      <c r="K3" s="72">
        <v>0</v>
      </c>
      <c r="L3" s="72">
        <v>0</v>
      </c>
      <c r="M3" s="72">
        <v>1</v>
      </c>
      <c r="N3" s="72">
        <v>0</v>
      </c>
      <c r="O3" s="72">
        <v>0</v>
      </c>
      <c r="P3" s="72">
        <v>1</v>
      </c>
      <c r="Q3" s="72">
        <v>0</v>
      </c>
      <c r="R3" s="72">
        <v>8</v>
      </c>
      <c r="S3" s="73"/>
      <c r="T3" s="74" t="s">
        <v>217</v>
      </c>
      <c r="U3" s="75" t="s">
        <v>212</v>
      </c>
      <c r="V3" s="76" t="s">
        <v>207</v>
      </c>
      <c r="W3" s="77" t="s">
        <v>197</v>
      </c>
      <c r="X3" s="76" t="s">
        <v>213</v>
      </c>
      <c r="Y3" s="76">
        <v>1</v>
      </c>
      <c r="Z3" s="76">
        <v>0</v>
      </c>
      <c r="AA3" s="76">
        <v>0</v>
      </c>
      <c r="AB3" s="78">
        <v>1</v>
      </c>
      <c r="AC3" s="76">
        <v>1</v>
      </c>
      <c r="AD3" s="76">
        <v>0</v>
      </c>
      <c r="AE3" s="76">
        <v>0</v>
      </c>
      <c r="AF3" s="78">
        <v>1</v>
      </c>
      <c r="AG3" s="76"/>
      <c r="AH3" s="76"/>
      <c r="AI3" s="76"/>
      <c r="AJ3" s="78"/>
      <c r="AK3" s="76"/>
      <c r="AL3" s="76"/>
      <c r="AM3" s="76"/>
      <c r="AN3" s="78"/>
      <c r="AP3" s="333" t="s">
        <v>188</v>
      </c>
      <c r="AQ3" s="329">
        <f>Z20</f>
        <v>0</v>
      </c>
    </row>
    <row r="4" spans="1:43" ht="17" thickBot="1" x14ac:dyDescent="0.25">
      <c r="A4" s="1" t="s">
        <v>48</v>
      </c>
      <c r="B4" s="2" t="s">
        <v>44</v>
      </c>
      <c r="C4" s="3" t="s">
        <v>49</v>
      </c>
      <c r="D4" s="4" t="s">
        <v>21</v>
      </c>
      <c r="E4" s="4" t="s">
        <v>31</v>
      </c>
      <c r="F4" s="4">
        <v>19</v>
      </c>
      <c r="G4" s="5">
        <v>34</v>
      </c>
      <c r="H4" s="6">
        <v>0</v>
      </c>
      <c r="I4" s="7">
        <v>0</v>
      </c>
      <c r="J4" s="7">
        <v>3</v>
      </c>
      <c r="K4" s="4">
        <v>2</v>
      </c>
      <c r="L4" s="7">
        <v>0</v>
      </c>
      <c r="M4" s="4">
        <v>0</v>
      </c>
      <c r="N4" s="7">
        <v>0</v>
      </c>
      <c r="O4" s="7">
        <v>0</v>
      </c>
      <c r="P4" s="7">
        <v>1</v>
      </c>
      <c r="Q4" s="4">
        <v>0</v>
      </c>
      <c r="R4" s="7">
        <v>6</v>
      </c>
      <c r="S4" s="8"/>
      <c r="T4" s="9" t="s">
        <v>247</v>
      </c>
      <c r="U4" s="10" t="s">
        <v>208</v>
      </c>
      <c r="V4" s="11" t="s">
        <v>207</v>
      </c>
      <c r="W4" s="11" t="s">
        <v>245</v>
      </c>
      <c r="X4" s="12" t="s">
        <v>246</v>
      </c>
      <c r="Y4" s="11">
        <v>1</v>
      </c>
      <c r="Z4" s="11">
        <v>0</v>
      </c>
      <c r="AA4" s="11">
        <v>0</v>
      </c>
      <c r="AB4" s="13">
        <v>1</v>
      </c>
      <c r="AC4" s="11"/>
      <c r="AD4" s="11"/>
      <c r="AE4" s="11"/>
      <c r="AF4" s="13"/>
      <c r="AG4" s="11">
        <v>1</v>
      </c>
      <c r="AH4" s="11">
        <v>0</v>
      </c>
      <c r="AI4" s="11">
        <v>0</v>
      </c>
      <c r="AJ4" s="13">
        <v>1</v>
      </c>
      <c r="AK4" s="11"/>
      <c r="AL4" s="11"/>
      <c r="AM4" s="11"/>
      <c r="AN4" s="13"/>
      <c r="AP4" s="333" t="s">
        <v>189</v>
      </c>
      <c r="AQ4" s="329">
        <f>AA20</f>
        <v>0</v>
      </c>
    </row>
    <row r="5" spans="1:43" ht="17" thickBot="1" x14ac:dyDescent="0.25">
      <c r="A5" s="66" t="s">
        <v>50</v>
      </c>
      <c r="B5" s="67" t="s">
        <v>44</v>
      </c>
      <c r="C5" s="68" t="s">
        <v>51</v>
      </c>
      <c r="D5" s="69" t="s">
        <v>47</v>
      </c>
      <c r="E5" s="69" t="s">
        <v>31</v>
      </c>
      <c r="F5" s="69">
        <v>28</v>
      </c>
      <c r="G5" s="70">
        <v>68</v>
      </c>
      <c r="H5" s="79">
        <v>1</v>
      </c>
      <c r="I5" s="70">
        <v>0</v>
      </c>
      <c r="J5" s="72">
        <v>4</v>
      </c>
      <c r="K5" s="72">
        <v>2</v>
      </c>
      <c r="L5" s="72">
        <v>0</v>
      </c>
      <c r="M5" s="72">
        <v>0</v>
      </c>
      <c r="N5" s="72">
        <v>1</v>
      </c>
      <c r="O5" s="72">
        <v>0</v>
      </c>
      <c r="P5" s="69">
        <v>1</v>
      </c>
      <c r="Q5" s="72">
        <v>0</v>
      </c>
      <c r="R5" s="69">
        <v>10</v>
      </c>
      <c r="S5" s="73"/>
      <c r="T5" s="74" t="s">
        <v>290</v>
      </c>
      <c r="U5" s="75" t="s">
        <v>283</v>
      </c>
      <c r="V5" s="76" t="s">
        <v>242</v>
      </c>
      <c r="W5" s="76" t="s">
        <v>245</v>
      </c>
      <c r="X5" s="77" t="s">
        <v>284</v>
      </c>
      <c r="Y5" s="76">
        <v>1</v>
      </c>
      <c r="Z5" s="76">
        <v>0</v>
      </c>
      <c r="AA5" s="76">
        <v>0</v>
      </c>
      <c r="AB5" s="78">
        <v>1</v>
      </c>
      <c r="AC5" s="76">
        <v>1</v>
      </c>
      <c r="AD5" s="76">
        <v>0</v>
      </c>
      <c r="AE5" s="76">
        <v>0</v>
      </c>
      <c r="AF5" s="78">
        <v>1</v>
      </c>
      <c r="AG5" s="76"/>
      <c r="AH5" s="76"/>
      <c r="AI5" s="76"/>
      <c r="AJ5" s="78"/>
      <c r="AK5" s="76"/>
      <c r="AL5" s="76"/>
      <c r="AM5" s="76"/>
      <c r="AN5" s="78"/>
      <c r="AP5" s="333" t="s">
        <v>190</v>
      </c>
      <c r="AQ5" s="329">
        <f>AB20</f>
        <v>16</v>
      </c>
    </row>
    <row r="6" spans="1:43" ht="17" thickBot="1" x14ac:dyDescent="0.25">
      <c r="A6" s="1" t="s">
        <v>33</v>
      </c>
      <c r="B6" s="2" t="s">
        <v>44</v>
      </c>
      <c r="C6" s="3" t="s">
        <v>52</v>
      </c>
      <c r="D6" s="4" t="s">
        <v>21</v>
      </c>
      <c r="E6" s="4" t="s">
        <v>31</v>
      </c>
      <c r="F6" s="4">
        <v>21</v>
      </c>
      <c r="G6" s="5">
        <v>50</v>
      </c>
      <c r="H6" s="5">
        <v>0</v>
      </c>
      <c r="I6" s="7">
        <v>0</v>
      </c>
      <c r="J6" s="4">
        <v>3</v>
      </c>
      <c r="K6" s="4">
        <v>2</v>
      </c>
      <c r="L6" s="7">
        <v>0</v>
      </c>
      <c r="M6" s="7">
        <v>0</v>
      </c>
      <c r="N6" s="7">
        <v>0</v>
      </c>
      <c r="O6" s="7">
        <v>0</v>
      </c>
      <c r="P6" s="7">
        <v>1</v>
      </c>
      <c r="Q6" s="4">
        <v>0</v>
      </c>
      <c r="R6" s="7">
        <v>7</v>
      </c>
      <c r="S6" s="8"/>
      <c r="T6" s="9" t="s">
        <v>303</v>
      </c>
      <c r="U6" s="11" t="s">
        <v>205</v>
      </c>
      <c r="V6" s="11" t="s">
        <v>199</v>
      </c>
      <c r="W6" s="11" t="s">
        <v>258</v>
      </c>
      <c r="X6" s="10" t="s">
        <v>210</v>
      </c>
      <c r="Y6" s="11">
        <v>1</v>
      </c>
      <c r="Z6" s="11">
        <v>0</v>
      </c>
      <c r="AA6" s="11">
        <v>0</v>
      </c>
      <c r="AB6" s="13">
        <v>1</v>
      </c>
      <c r="AC6" s="11"/>
      <c r="AD6" s="11"/>
      <c r="AE6" s="11"/>
      <c r="AF6" s="13"/>
      <c r="AG6" s="11">
        <v>1</v>
      </c>
      <c r="AH6" s="11">
        <v>0</v>
      </c>
      <c r="AI6" s="11">
        <v>0</v>
      </c>
      <c r="AJ6" s="13">
        <v>1</v>
      </c>
      <c r="AK6" s="11"/>
      <c r="AL6" s="11"/>
      <c r="AM6" s="11"/>
      <c r="AN6" s="13"/>
      <c r="AP6" s="333" t="s">
        <v>191</v>
      </c>
      <c r="AQ6" s="329">
        <f>F20</f>
        <v>323</v>
      </c>
    </row>
    <row r="7" spans="1:43" ht="17" thickBot="1" x14ac:dyDescent="0.25">
      <c r="A7" s="66" t="s">
        <v>34</v>
      </c>
      <c r="B7" s="67" t="s">
        <v>44</v>
      </c>
      <c r="C7" s="68" t="s">
        <v>53</v>
      </c>
      <c r="D7" s="69" t="s">
        <v>47</v>
      </c>
      <c r="E7" s="72" t="s">
        <v>31</v>
      </c>
      <c r="F7" s="69">
        <v>32</v>
      </c>
      <c r="G7" s="70">
        <v>46</v>
      </c>
      <c r="H7" s="71">
        <v>1</v>
      </c>
      <c r="I7" s="69">
        <v>0</v>
      </c>
      <c r="J7" s="72">
        <v>4</v>
      </c>
      <c r="K7" s="72">
        <v>3</v>
      </c>
      <c r="L7" s="72">
        <v>0</v>
      </c>
      <c r="M7" s="72">
        <v>2</v>
      </c>
      <c r="N7" s="72">
        <v>0</v>
      </c>
      <c r="O7" s="72">
        <v>0</v>
      </c>
      <c r="P7" s="72">
        <v>1</v>
      </c>
      <c r="Q7" s="72">
        <v>0</v>
      </c>
      <c r="R7" s="72">
        <v>6</v>
      </c>
      <c r="S7" s="73"/>
      <c r="T7" s="84" t="s">
        <v>317</v>
      </c>
      <c r="U7" s="75" t="s">
        <v>258</v>
      </c>
      <c r="V7" s="76" t="s">
        <v>242</v>
      </c>
      <c r="W7" s="76" t="s">
        <v>254</v>
      </c>
      <c r="X7" s="77" t="s">
        <v>284</v>
      </c>
      <c r="Y7" s="76">
        <v>1</v>
      </c>
      <c r="Z7" s="76">
        <v>0</v>
      </c>
      <c r="AA7" s="76">
        <v>0</v>
      </c>
      <c r="AB7" s="78">
        <v>1</v>
      </c>
      <c r="AC7" s="76">
        <v>1</v>
      </c>
      <c r="AD7" s="76">
        <v>0</v>
      </c>
      <c r="AE7" s="76">
        <v>0</v>
      </c>
      <c r="AF7" s="78">
        <v>1</v>
      </c>
      <c r="AG7" s="76"/>
      <c r="AH7" s="76"/>
      <c r="AI7" s="76"/>
      <c r="AJ7" s="78"/>
      <c r="AK7" s="76"/>
      <c r="AL7" s="76"/>
      <c r="AM7" s="76"/>
      <c r="AN7" s="78"/>
      <c r="AP7" s="333" t="s">
        <v>192</v>
      </c>
      <c r="AQ7" s="329">
        <f>G20</f>
        <v>676</v>
      </c>
    </row>
    <row r="8" spans="1:43" ht="17" thickBot="1" x14ac:dyDescent="0.25">
      <c r="A8" s="1" t="s">
        <v>54</v>
      </c>
      <c r="B8" s="2" t="s">
        <v>44</v>
      </c>
      <c r="C8" s="3" t="s">
        <v>55</v>
      </c>
      <c r="D8" s="4" t="s">
        <v>21</v>
      </c>
      <c r="E8" s="7" t="s">
        <v>31</v>
      </c>
      <c r="F8" s="4">
        <v>19</v>
      </c>
      <c r="G8" s="5">
        <v>44</v>
      </c>
      <c r="H8" s="6">
        <v>0</v>
      </c>
      <c r="I8" s="4">
        <v>0</v>
      </c>
      <c r="J8" s="7">
        <v>3</v>
      </c>
      <c r="K8" s="7">
        <v>2</v>
      </c>
      <c r="L8" s="7">
        <v>0</v>
      </c>
      <c r="M8" s="7">
        <v>0</v>
      </c>
      <c r="N8" s="7">
        <v>2</v>
      </c>
      <c r="O8" s="7">
        <v>0</v>
      </c>
      <c r="P8" s="4">
        <v>1</v>
      </c>
      <c r="Q8" s="7">
        <v>0</v>
      </c>
      <c r="R8" s="7">
        <v>8</v>
      </c>
      <c r="S8" s="8"/>
      <c r="T8" s="19" t="s">
        <v>328</v>
      </c>
      <c r="U8" s="10" t="s">
        <v>201</v>
      </c>
      <c r="V8" s="11" t="s">
        <v>207</v>
      </c>
      <c r="W8" s="11" t="s">
        <v>208</v>
      </c>
      <c r="X8" s="12" t="s">
        <v>213</v>
      </c>
      <c r="Y8" s="11">
        <v>1</v>
      </c>
      <c r="Z8" s="11">
        <v>0</v>
      </c>
      <c r="AA8" s="11">
        <v>0</v>
      </c>
      <c r="AB8" s="13">
        <v>1</v>
      </c>
      <c r="AC8" s="11"/>
      <c r="AD8" s="11"/>
      <c r="AE8" s="11"/>
      <c r="AF8" s="13"/>
      <c r="AG8" s="11">
        <v>1</v>
      </c>
      <c r="AH8" s="11">
        <v>0</v>
      </c>
      <c r="AI8" s="11">
        <v>0</v>
      </c>
      <c r="AJ8" s="13">
        <v>1</v>
      </c>
      <c r="AK8" s="11"/>
      <c r="AL8" s="11"/>
      <c r="AM8" s="11"/>
      <c r="AN8" s="13"/>
      <c r="AP8" s="333" t="s">
        <v>193</v>
      </c>
      <c r="AQ8" s="329">
        <f>J20</f>
        <v>47</v>
      </c>
    </row>
    <row r="9" spans="1:43" ht="17" thickBot="1" x14ac:dyDescent="0.25">
      <c r="A9" s="1" t="s">
        <v>56</v>
      </c>
      <c r="B9" s="2" t="s">
        <v>44</v>
      </c>
      <c r="C9" s="3" t="s">
        <v>57</v>
      </c>
      <c r="D9" s="4" t="s">
        <v>21</v>
      </c>
      <c r="E9" s="7" t="s">
        <v>31</v>
      </c>
      <c r="F9" s="4">
        <v>26</v>
      </c>
      <c r="G9" s="5">
        <v>59</v>
      </c>
      <c r="H9" s="6">
        <v>1</v>
      </c>
      <c r="I9" s="7">
        <v>0</v>
      </c>
      <c r="J9" s="7">
        <v>4</v>
      </c>
      <c r="K9" s="7">
        <v>1</v>
      </c>
      <c r="L9" s="7">
        <v>0</v>
      </c>
      <c r="M9" s="7">
        <v>0</v>
      </c>
      <c r="N9" s="7">
        <v>0</v>
      </c>
      <c r="O9" s="7">
        <v>0</v>
      </c>
      <c r="P9" s="7">
        <v>1</v>
      </c>
      <c r="Q9" s="7">
        <v>0</v>
      </c>
      <c r="R9" s="7">
        <v>9</v>
      </c>
      <c r="S9" s="8"/>
      <c r="T9" s="9" t="s">
        <v>345</v>
      </c>
      <c r="U9" s="10" t="s">
        <v>208</v>
      </c>
      <c r="V9" s="11" t="s">
        <v>206</v>
      </c>
      <c r="W9" s="11" t="s">
        <v>197</v>
      </c>
      <c r="X9" s="12" t="s">
        <v>296</v>
      </c>
      <c r="Y9" s="11">
        <v>1</v>
      </c>
      <c r="Z9" s="11">
        <v>0</v>
      </c>
      <c r="AA9" s="11">
        <v>0</v>
      </c>
      <c r="AB9" s="13">
        <v>1</v>
      </c>
      <c r="AC9" s="11"/>
      <c r="AD9" s="11"/>
      <c r="AE9" s="11"/>
      <c r="AF9" s="13"/>
      <c r="AG9" s="11">
        <v>1</v>
      </c>
      <c r="AH9" s="11">
        <v>0</v>
      </c>
      <c r="AI9" s="11">
        <v>0</v>
      </c>
      <c r="AJ9" s="13">
        <v>1</v>
      </c>
      <c r="AK9" s="11"/>
      <c r="AL9" s="11"/>
      <c r="AM9" s="11"/>
      <c r="AN9" s="13"/>
      <c r="AP9" s="333" t="s">
        <v>194</v>
      </c>
      <c r="AQ9" s="329">
        <f>R20</f>
        <v>102</v>
      </c>
    </row>
    <row r="10" spans="1:43" ht="17" thickBot="1" x14ac:dyDescent="0.25">
      <c r="A10" s="66" t="s">
        <v>58</v>
      </c>
      <c r="B10" s="67" t="s">
        <v>44</v>
      </c>
      <c r="C10" s="68" t="s">
        <v>49</v>
      </c>
      <c r="D10" s="69" t="s">
        <v>47</v>
      </c>
      <c r="E10" s="69" t="s">
        <v>31</v>
      </c>
      <c r="F10" s="69">
        <v>5</v>
      </c>
      <c r="G10" s="70">
        <v>40</v>
      </c>
      <c r="H10" s="71">
        <v>0</v>
      </c>
      <c r="I10" s="72">
        <v>0</v>
      </c>
      <c r="J10" s="72">
        <v>1</v>
      </c>
      <c r="K10" s="72">
        <v>0</v>
      </c>
      <c r="L10" s="72">
        <v>0</v>
      </c>
      <c r="M10" s="72">
        <v>0</v>
      </c>
      <c r="N10" s="69">
        <v>2</v>
      </c>
      <c r="O10" s="72">
        <v>0</v>
      </c>
      <c r="P10" s="72">
        <v>1</v>
      </c>
      <c r="Q10" s="69">
        <v>0</v>
      </c>
      <c r="R10" s="72">
        <v>6</v>
      </c>
      <c r="S10" s="73"/>
      <c r="T10" s="74" t="s">
        <v>359</v>
      </c>
      <c r="U10" s="75" t="s">
        <v>212</v>
      </c>
      <c r="V10" s="76" t="s">
        <v>337</v>
      </c>
      <c r="W10" s="76" t="s">
        <v>258</v>
      </c>
      <c r="X10" s="77" t="s">
        <v>356</v>
      </c>
      <c r="Y10" s="76">
        <v>1</v>
      </c>
      <c r="Z10" s="76">
        <v>0</v>
      </c>
      <c r="AA10" s="76">
        <v>0</v>
      </c>
      <c r="AB10" s="78">
        <v>1</v>
      </c>
      <c r="AC10" s="76">
        <v>1</v>
      </c>
      <c r="AD10" s="76">
        <v>0</v>
      </c>
      <c r="AE10" s="76">
        <v>0</v>
      </c>
      <c r="AF10" s="78">
        <v>1</v>
      </c>
      <c r="AG10" s="76"/>
      <c r="AH10" s="76"/>
      <c r="AI10" s="76"/>
      <c r="AJ10" s="78"/>
      <c r="AK10" s="76"/>
      <c r="AL10" s="76"/>
      <c r="AM10" s="76"/>
      <c r="AN10" s="78"/>
    </row>
    <row r="11" spans="1:43" ht="17" thickBot="1" x14ac:dyDescent="0.25">
      <c r="A11" s="1" t="s">
        <v>59</v>
      </c>
      <c r="B11" s="2" t="s">
        <v>44</v>
      </c>
      <c r="C11" s="3" t="s">
        <v>60</v>
      </c>
      <c r="D11" s="4" t="s">
        <v>21</v>
      </c>
      <c r="E11" s="4" t="s">
        <v>31</v>
      </c>
      <c r="F11" s="4">
        <v>13</v>
      </c>
      <c r="G11" s="5">
        <v>29</v>
      </c>
      <c r="H11" s="6">
        <v>0</v>
      </c>
      <c r="I11" s="7">
        <v>0</v>
      </c>
      <c r="J11" s="7">
        <v>2</v>
      </c>
      <c r="K11" s="7">
        <v>0</v>
      </c>
      <c r="L11" s="7">
        <v>0</v>
      </c>
      <c r="M11" s="7">
        <v>3</v>
      </c>
      <c r="N11" s="7">
        <v>0</v>
      </c>
      <c r="O11" s="7">
        <v>0</v>
      </c>
      <c r="P11" s="7">
        <v>1</v>
      </c>
      <c r="Q11" s="4">
        <v>0</v>
      </c>
      <c r="R11" s="7">
        <v>4</v>
      </c>
      <c r="S11" s="8"/>
      <c r="T11" s="9" t="s">
        <v>372</v>
      </c>
      <c r="U11" s="379" t="s">
        <v>206</v>
      </c>
      <c r="V11" s="380" t="s">
        <v>199</v>
      </c>
      <c r="W11" s="380" t="s">
        <v>201</v>
      </c>
      <c r="X11" s="381" t="s">
        <v>255</v>
      </c>
      <c r="Y11" s="11">
        <v>1</v>
      </c>
      <c r="Z11" s="11">
        <v>0</v>
      </c>
      <c r="AA11" s="11">
        <v>0</v>
      </c>
      <c r="AB11" s="13">
        <v>1</v>
      </c>
      <c r="AC11" s="11"/>
      <c r="AD11" s="11"/>
      <c r="AE11" s="11"/>
      <c r="AF11" s="13"/>
      <c r="AG11" s="11">
        <v>1</v>
      </c>
      <c r="AH11" s="11">
        <v>0</v>
      </c>
      <c r="AI11" s="11">
        <v>0</v>
      </c>
      <c r="AJ11" s="13">
        <v>1</v>
      </c>
      <c r="AK11" s="11"/>
      <c r="AL11" s="11"/>
      <c r="AM11" s="11"/>
      <c r="AN11" s="13"/>
    </row>
    <row r="12" spans="1:43" ht="17" thickBot="1" x14ac:dyDescent="0.25">
      <c r="A12" s="81" t="s">
        <v>36</v>
      </c>
      <c r="B12" s="67" t="s">
        <v>44</v>
      </c>
      <c r="C12" s="68" t="s">
        <v>61</v>
      </c>
      <c r="D12" s="69" t="s">
        <v>47</v>
      </c>
      <c r="E12" s="69" t="s">
        <v>31</v>
      </c>
      <c r="F12" s="69">
        <v>15</v>
      </c>
      <c r="G12" s="70">
        <v>38</v>
      </c>
      <c r="H12" s="71">
        <v>0</v>
      </c>
      <c r="I12" s="72">
        <v>0</v>
      </c>
      <c r="J12" s="72">
        <v>2</v>
      </c>
      <c r="K12" s="72">
        <v>1</v>
      </c>
      <c r="L12" s="72">
        <v>0</v>
      </c>
      <c r="M12" s="72">
        <v>1</v>
      </c>
      <c r="N12" s="69">
        <v>1</v>
      </c>
      <c r="O12" s="72">
        <v>0</v>
      </c>
      <c r="P12" s="72">
        <v>1</v>
      </c>
      <c r="Q12" s="72">
        <v>0</v>
      </c>
      <c r="R12" s="72">
        <v>6</v>
      </c>
      <c r="S12" s="82"/>
      <c r="T12" s="74" t="s">
        <v>390</v>
      </c>
      <c r="U12" s="75" t="s">
        <v>245</v>
      </c>
      <c r="V12" s="76" t="s">
        <v>199</v>
      </c>
      <c r="W12" s="76" t="s">
        <v>276</v>
      </c>
      <c r="X12" s="77" t="s">
        <v>337</v>
      </c>
      <c r="Y12" s="76">
        <v>1</v>
      </c>
      <c r="Z12" s="76">
        <v>0</v>
      </c>
      <c r="AA12" s="76">
        <v>0</v>
      </c>
      <c r="AB12" s="78">
        <v>1</v>
      </c>
      <c r="AC12" s="76">
        <v>1</v>
      </c>
      <c r="AD12" s="76">
        <v>0</v>
      </c>
      <c r="AE12" s="76">
        <v>0</v>
      </c>
      <c r="AF12" s="78">
        <v>1</v>
      </c>
      <c r="AG12" s="76"/>
      <c r="AH12" s="76"/>
      <c r="AI12" s="76"/>
      <c r="AJ12" s="78"/>
      <c r="AK12" s="76"/>
      <c r="AL12" s="76"/>
      <c r="AM12" s="76"/>
      <c r="AN12" s="78"/>
    </row>
    <row r="13" spans="1:43" ht="17" thickBot="1" x14ac:dyDescent="0.25">
      <c r="A13" s="81" t="s">
        <v>62</v>
      </c>
      <c r="B13" s="67" t="s">
        <v>44</v>
      </c>
      <c r="C13" s="68" t="s">
        <v>63</v>
      </c>
      <c r="D13" s="69" t="s">
        <v>47</v>
      </c>
      <c r="E13" s="69" t="s">
        <v>31</v>
      </c>
      <c r="F13" s="69">
        <v>29</v>
      </c>
      <c r="G13" s="70">
        <v>33</v>
      </c>
      <c r="H13" s="71">
        <v>1</v>
      </c>
      <c r="I13" s="72">
        <v>1</v>
      </c>
      <c r="J13" s="72">
        <v>4</v>
      </c>
      <c r="K13" s="72">
        <v>3</v>
      </c>
      <c r="L13" s="72">
        <v>0</v>
      </c>
      <c r="M13" s="72">
        <v>1</v>
      </c>
      <c r="N13" s="72">
        <v>2</v>
      </c>
      <c r="O13" s="72">
        <v>0</v>
      </c>
      <c r="P13" s="72">
        <v>1</v>
      </c>
      <c r="Q13" s="72">
        <v>0</v>
      </c>
      <c r="R13" s="72">
        <v>4</v>
      </c>
      <c r="S13" s="82"/>
      <c r="T13" s="74" t="s">
        <v>404</v>
      </c>
      <c r="U13" s="75" t="s">
        <v>258</v>
      </c>
      <c r="V13" s="76" t="s">
        <v>276</v>
      </c>
      <c r="W13" s="76" t="s">
        <v>356</v>
      </c>
      <c r="X13" s="77" t="s">
        <v>284</v>
      </c>
      <c r="Y13" s="76">
        <v>1</v>
      </c>
      <c r="Z13" s="76">
        <v>0</v>
      </c>
      <c r="AA13" s="76">
        <v>0</v>
      </c>
      <c r="AB13" s="78">
        <v>1</v>
      </c>
      <c r="AC13" s="76">
        <v>1</v>
      </c>
      <c r="AD13" s="76">
        <v>0</v>
      </c>
      <c r="AE13" s="76">
        <v>0</v>
      </c>
      <c r="AF13" s="78">
        <v>1</v>
      </c>
      <c r="AG13" s="76"/>
      <c r="AH13" s="76"/>
      <c r="AI13" s="76"/>
      <c r="AJ13" s="78"/>
      <c r="AK13" s="76"/>
      <c r="AL13" s="76"/>
      <c r="AM13" s="76"/>
      <c r="AN13" s="78"/>
    </row>
    <row r="14" spans="1:43" ht="17" thickBot="1" x14ac:dyDescent="0.25">
      <c r="A14" s="16" t="s">
        <v>64</v>
      </c>
      <c r="B14" s="2" t="s">
        <v>44</v>
      </c>
      <c r="C14" s="3" t="s">
        <v>53</v>
      </c>
      <c r="D14" s="4" t="s">
        <v>21</v>
      </c>
      <c r="E14" s="4" t="s">
        <v>31</v>
      </c>
      <c r="F14" s="4">
        <v>29</v>
      </c>
      <c r="G14" s="5">
        <v>47</v>
      </c>
      <c r="H14" s="6">
        <v>1</v>
      </c>
      <c r="I14" s="7">
        <v>0</v>
      </c>
      <c r="J14" s="7">
        <v>5</v>
      </c>
      <c r="K14" s="7">
        <v>2</v>
      </c>
      <c r="L14" s="7">
        <v>0</v>
      </c>
      <c r="M14" s="7">
        <v>0</v>
      </c>
      <c r="N14" s="7">
        <v>1</v>
      </c>
      <c r="O14" s="7">
        <v>0</v>
      </c>
      <c r="P14" s="7">
        <v>1</v>
      </c>
      <c r="Q14" s="7">
        <v>0</v>
      </c>
      <c r="R14" s="7">
        <v>7</v>
      </c>
      <c r="S14" s="17"/>
      <c r="T14" s="18" t="s">
        <v>420</v>
      </c>
      <c r="U14" s="10" t="s">
        <v>215</v>
      </c>
      <c r="V14" s="11" t="s">
        <v>204</v>
      </c>
      <c r="W14" s="11" t="s">
        <v>295</v>
      </c>
      <c r="X14" s="12" t="s">
        <v>421</v>
      </c>
      <c r="Y14" s="11">
        <v>1</v>
      </c>
      <c r="Z14" s="11">
        <v>0</v>
      </c>
      <c r="AA14" s="11">
        <v>0</v>
      </c>
      <c r="AB14" s="13">
        <v>1</v>
      </c>
      <c r="AC14" s="11"/>
      <c r="AD14" s="11"/>
      <c r="AE14" s="11"/>
      <c r="AF14" s="13"/>
      <c r="AG14" s="11">
        <v>1</v>
      </c>
      <c r="AH14" s="11">
        <v>0</v>
      </c>
      <c r="AI14" s="11">
        <v>0</v>
      </c>
      <c r="AJ14" s="13">
        <v>1</v>
      </c>
      <c r="AK14" s="11"/>
      <c r="AL14" s="11"/>
      <c r="AM14" s="11"/>
      <c r="AN14" s="13"/>
    </row>
    <row r="15" spans="1:43" ht="17" thickBot="1" x14ac:dyDescent="0.25">
      <c r="A15" s="16" t="s">
        <v>65</v>
      </c>
      <c r="B15" s="2" t="s">
        <v>44</v>
      </c>
      <c r="C15" s="3" t="s">
        <v>66</v>
      </c>
      <c r="D15" s="4" t="s">
        <v>21</v>
      </c>
      <c r="E15" s="4" t="s">
        <v>31</v>
      </c>
      <c r="F15" s="4">
        <v>24</v>
      </c>
      <c r="G15" s="5">
        <v>34</v>
      </c>
      <c r="H15" s="6">
        <v>0</v>
      </c>
      <c r="I15" s="7">
        <v>0</v>
      </c>
      <c r="J15" s="7">
        <v>3</v>
      </c>
      <c r="K15" s="7">
        <v>3</v>
      </c>
      <c r="L15" s="7">
        <v>0</v>
      </c>
      <c r="M15" s="7">
        <v>1</v>
      </c>
      <c r="N15" s="7">
        <v>0</v>
      </c>
      <c r="O15" s="7">
        <v>0</v>
      </c>
      <c r="P15" s="7">
        <v>1</v>
      </c>
      <c r="Q15" s="7">
        <v>0</v>
      </c>
      <c r="R15" s="7">
        <v>5</v>
      </c>
      <c r="S15" s="17"/>
      <c r="T15" s="9" t="s">
        <v>419</v>
      </c>
      <c r="U15" s="10" t="s">
        <v>206</v>
      </c>
      <c r="V15" s="11" t="s">
        <v>207</v>
      </c>
      <c r="W15" s="11" t="s">
        <v>208</v>
      </c>
      <c r="X15" s="12" t="s">
        <v>259</v>
      </c>
      <c r="Y15" s="11">
        <v>1</v>
      </c>
      <c r="Z15" s="11">
        <v>0</v>
      </c>
      <c r="AA15" s="11">
        <v>0</v>
      </c>
      <c r="AB15" s="13">
        <v>1</v>
      </c>
      <c r="AC15" s="11"/>
      <c r="AD15" s="11"/>
      <c r="AE15" s="11"/>
      <c r="AF15" s="13"/>
      <c r="AG15" s="11">
        <v>1</v>
      </c>
      <c r="AH15" s="11">
        <v>0</v>
      </c>
      <c r="AI15" s="11">
        <v>0</v>
      </c>
      <c r="AJ15" s="13">
        <v>1</v>
      </c>
      <c r="AK15" s="11"/>
      <c r="AL15" s="11"/>
      <c r="AM15" s="11"/>
      <c r="AN15" s="13"/>
    </row>
    <row r="16" spans="1:43" ht="17" thickBot="1" x14ac:dyDescent="0.25">
      <c r="A16" s="81" t="s">
        <v>67</v>
      </c>
      <c r="B16" s="67" t="s">
        <v>44</v>
      </c>
      <c r="C16" s="68" t="s">
        <v>52</v>
      </c>
      <c r="D16" s="69" t="s">
        <v>47</v>
      </c>
      <c r="E16" s="69" t="s">
        <v>31</v>
      </c>
      <c r="F16" s="69">
        <v>14</v>
      </c>
      <c r="G16" s="70">
        <v>30</v>
      </c>
      <c r="H16" s="71">
        <v>0</v>
      </c>
      <c r="I16" s="72">
        <v>0</v>
      </c>
      <c r="J16" s="72">
        <v>2</v>
      </c>
      <c r="K16" s="72">
        <v>2</v>
      </c>
      <c r="L16" s="72">
        <v>0</v>
      </c>
      <c r="M16" s="72">
        <v>0</v>
      </c>
      <c r="N16" s="72">
        <v>2</v>
      </c>
      <c r="O16" s="72">
        <v>1</v>
      </c>
      <c r="P16" s="72">
        <v>1</v>
      </c>
      <c r="Q16" s="72">
        <v>0</v>
      </c>
      <c r="R16" s="72">
        <v>4</v>
      </c>
      <c r="S16" s="82"/>
      <c r="T16" s="74" t="s">
        <v>446</v>
      </c>
      <c r="U16" s="75" t="s">
        <v>201</v>
      </c>
      <c r="V16" s="76" t="s">
        <v>199</v>
      </c>
      <c r="W16" s="76" t="s">
        <v>205</v>
      </c>
      <c r="X16" s="76" t="s">
        <v>442</v>
      </c>
      <c r="Y16" s="76">
        <v>1</v>
      </c>
      <c r="Z16" s="76">
        <v>0</v>
      </c>
      <c r="AA16" s="76">
        <v>0</v>
      </c>
      <c r="AB16" s="78">
        <v>1</v>
      </c>
      <c r="AC16" s="76">
        <v>1</v>
      </c>
      <c r="AD16" s="76">
        <v>0</v>
      </c>
      <c r="AE16" s="76">
        <v>0</v>
      </c>
      <c r="AF16" s="78">
        <v>1</v>
      </c>
      <c r="AG16" s="76"/>
      <c r="AH16" s="76"/>
      <c r="AI16" s="76"/>
      <c r="AJ16" s="78"/>
      <c r="AK16" s="76"/>
      <c r="AL16" s="76"/>
      <c r="AM16" s="76"/>
      <c r="AN16" s="78"/>
    </row>
    <row r="17" spans="1:40" ht="17" thickBot="1" x14ac:dyDescent="0.25">
      <c r="A17" s="81" t="s">
        <v>68</v>
      </c>
      <c r="B17" s="67" t="s">
        <v>44</v>
      </c>
      <c r="C17" s="68" t="s">
        <v>57</v>
      </c>
      <c r="D17" s="69" t="s">
        <v>47</v>
      </c>
      <c r="E17" s="69" t="s">
        <v>31</v>
      </c>
      <c r="F17" s="69">
        <v>29</v>
      </c>
      <c r="G17" s="70">
        <v>38</v>
      </c>
      <c r="H17" s="71">
        <v>1</v>
      </c>
      <c r="I17" s="72">
        <v>0</v>
      </c>
      <c r="J17" s="72">
        <v>4</v>
      </c>
      <c r="K17" s="72">
        <v>3</v>
      </c>
      <c r="L17" s="72">
        <v>0</v>
      </c>
      <c r="M17" s="72">
        <v>1</v>
      </c>
      <c r="N17" s="69">
        <v>0</v>
      </c>
      <c r="O17" s="72">
        <v>0</v>
      </c>
      <c r="P17" s="72">
        <v>1</v>
      </c>
      <c r="Q17" s="72">
        <v>0</v>
      </c>
      <c r="R17" s="72">
        <v>6</v>
      </c>
      <c r="S17" s="73"/>
      <c r="T17" s="83" t="s">
        <v>457</v>
      </c>
      <c r="U17" s="76" t="s">
        <v>245</v>
      </c>
      <c r="V17" s="76" t="s">
        <v>199</v>
      </c>
      <c r="W17" s="76" t="s">
        <v>197</v>
      </c>
      <c r="X17" s="76" t="s">
        <v>241</v>
      </c>
      <c r="Y17" s="76">
        <v>1</v>
      </c>
      <c r="Z17" s="76">
        <v>0</v>
      </c>
      <c r="AA17" s="76">
        <v>0</v>
      </c>
      <c r="AB17" s="78">
        <v>1</v>
      </c>
      <c r="AC17" s="76">
        <v>1</v>
      </c>
      <c r="AD17" s="76">
        <v>0</v>
      </c>
      <c r="AE17" s="76">
        <v>0</v>
      </c>
      <c r="AF17" s="78">
        <v>1</v>
      </c>
      <c r="AG17" s="76"/>
      <c r="AH17" s="76"/>
      <c r="AI17" s="76"/>
      <c r="AJ17" s="78"/>
      <c r="AK17" s="76"/>
      <c r="AL17" s="76"/>
      <c r="AM17" s="76"/>
      <c r="AN17" s="78"/>
    </row>
    <row r="18" spans="1:40" ht="17" thickBot="1" x14ac:dyDescent="0.25">
      <c r="A18" s="16" t="s">
        <v>69</v>
      </c>
      <c r="B18" s="2" t="s">
        <v>44</v>
      </c>
      <c r="C18" s="20" t="s">
        <v>46</v>
      </c>
      <c r="D18" s="21" t="s">
        <v>21</v>
      </c>
      <c r="E18" s="21" t="s">
        <v>31</v>
      </c>
      <c r="F18" s="22">
        <v>7</v>
      </c>
      <c r="G18" s="23">
        <v>40</v>
      </c>
      <c r="H18" s="24">
        <v>0</v>
      </c>
      <c r="I18" s="25">
        <v>0</v>
      </c>
      <c r="J18" s="25">
        <v>1</v>
      </c>
      <c r="K18" s="25">
        <v>1</v>
      </c>
      <c r="L18" s="25">
        <v>0</v>
      </c>
      <c r="M18" s="25">
        <v>0</v>
      </c>
      <c r="N18" s="25">
        <v>0</v>
      </c>
      <c r="O18" s="25">
        <v>0</v>
      </c>
      <c r="P18" s="25">
        <v>1</v>
      </c>
      <c r="Q18" s="25">
        <v>0</v>
      </c>
      <c r="R18" s="25">
        <v>6</v>
      </c>
      <c r="S18" s="26"/>
      <c r="T18" s="27" t="s">
        <v>361</v>
      </c>
      <c r="U18" s="28" t="s">
        <v>241</v>
      </c>
      <c r="V18" s="28" t="s">
        <v>207</v>
      </c>
      <c r="W18" s="28" t="s">
        <v>254</v>
      </c>
      <c r="X18" s="29" t="s">
        <v>213</v>
      </c>
      <c r="Y18" s="28">
        <v>1</v>
      </c>
      <c r="Z18" s="28">
        <v>0</v>
      </c>
      <c r="AA18" s="28">
        <v>0</v>
      </c>
      <c r="AB18" s="30">
        <v>1</v>
      </c>
      <c r="AC18" s="28"/>
      <c r="AD18" s="28"/>
      <c r="AE18" s="28"/>
      <c r="AF18" s="30"/>
      <c r="AG18" s="28">
        <v>1</v>
      </c>
      <c r="AH18" s="28">
        <v>0</v>
      </c>
      <c r="AI18" s="28">
        <v>0</v>
      </c>
      <c r="AJ18" s="30">
        <v>1</v>
      </c>
      <c r="AK18" s="28"/>
      <c r="AL18" s="28"/>
      <c r="AM18" s="28"/>
      <c r="AN18" s="30"/>
    </row>
    <row r="19" spans="1:40" ht="17" thickBot="1" x14ac:dyDescent="0.25">
      <c r="A19" s="33"/>
      <c r="B19" s="34"/>
      <c r="C19" s="425" t="s">
        <v>40</v>
      </c>
      <c r="D19" s="426"/>
      <c r="E19" s="427"/>
      <c r="F19" s="38">
        <f t="shared" ref="F19:R19" si="0">SUM(F3+F4+F5+F6+F7+F8+F9+F10+F11+F12+F13+F14+F15+F16+F17+F18)</f>
        <v>323</v>
      </c>
      <c r="G19" s="38">
        <f t="shared" si="0"/>
        <v>676</v>
      </c>
      <c r="H19" s="38">
        <f t="shared" si="0"/>
        <v>6</v>
      </c>
      <c r="I19" s="38">
        <f t="shared" si="0"/>
        <v>1</v>
      </c>
      <c r="J19" s="38">
        <f t="shared" si="0"/>
        <v>47</v>
      </c>
      <c r="K19" s="38">
        <f t="shared" si="0"/>
        <v>27</v>
      </c>
      <c r="L19" s="38">
        <f t="shared" si="0"/>
        <v>0</v>
      </c>
      <c r="M19" s="38">
        <f t="shared" si="0"/>
        <v>10</v>
      </c>
      <c r="N19" s="38">
        <f t="shared" si="0"/>
        <v>11</v>
      </c>
      <c r="O19" s="38">
        <f t="shared" si="0"/>
        <v>1</v>
      </c>
      <c r="P19" s="38">
        <f t="shared" si="0"/>
        <v>16</v>
      </c>
      <c r="Q19" s="38">
        <f t="shared" si="0"/>
        <v>0</v>
      </c>
      <c r="R19" s="38">
        <f t="shared" si="0"/>
        <v>102</v>
      </c>
      <c r="S19" s="39"/>
      <c r="T19" s="39"/>
      <c r="U19" s="39"/>
      <c r="V19" s="39"/>
      <c r="W19" s="40"/>
      <c r="X19" s="41" t="s">
        <v>40</v>
      </c>
      <c r="Y19" s="38">
        <f t="shared" ref="Y19:AN19" si="1">Y3+Y4+Y5+Y6+Y7+Y8+Y9+Y10+Y11+Y12+Y13+Y14+Y15+Y16+Y17+Y18</f>
        <v>16</v>
      </c>
      <c r="Z19" s="38">
        <f t="shared" si="1"/>
        <v>0</v>
      </c>
      <c r="AA19" s="38">
        <f t="shared" si="1"/>
        <v>0</v>
      </c>
      <c r="AB19" s="38">
        <f t="shared" si="1"/>
        <v>16</v>
      </c>
      <c r="AC19" s="32">
        <f t="shared" si="1"/>
        <v>8</v>
      </c>
      <c r="AD19" s="32">
        <f t="shared" si="1"/>
        <v>0</v>
      </c>
      <c r="AE19" s="32">
        <f t="shared" si="1"/>
        <v>0</v>
      </c>
      <c r="AF19" s="32">
        <f t="shared" si="1"/>
        <v>8</v>
      </c>
      <c r="AG19" s="31">
        <f t="shared" si="1"/>
        <v>8</v>
      </c>
      <c r="AH19" s="31">
        <f t="shared" si="1"/>
        <v>0</v>
      </c>
      <c r="AI19" s="31">
        <f t="shared" si="1"/>
        <v>0</v>
      </c>
      <c r="AJ19" s="31">
        <f t="shared" si="1"/>
        <v>8</v>
      </c>
      <c r="AK19" s="38">
        <f t="shared" si="1"/>
        <v>0</v>
      </c>
      <c r="AL19" s="38">
        <f t="shared" si="1"/>
        <v>0</v>
      </c>
      <c r="AM19" s="38">
        <f t="shared" si="1"/>
        <v>0</v>
      </c>
      <c r="AN19" s="38">
        <f t="shared" si="1"/>
        <v>0</v>
      </c>
    </row>
    <row r="20" spans="1:40" ht="17" thickBot="1" x14ac:dyDescent="0.25">
      <c r="A20" s="33"/>
      <c r="B20" s="34"/>
      <c r="C20" s="425" t="s">
        <v>42</v>
      </c>
      <c r="D20" s="431"/>
      <c r="E20" s="432"/>
      <c r="F20" s="42">
        <f>F19</f>
        <v>323</v>
      </c>
      <c r="G20" s="42">
        <f t="shared" ref="G20:R20" si="2">G19</f>
        <v>676</v>
      </c>
      <c r="H20" s="42">
        <f t="shared" si="2"/>
        <v>6</v>
      </c>
      <c r="I20" s="42">
        <f t="shared" si="2"/>
        <v>1</v>
      </c>
      <c r="J20" s="42">
        <f t="shared" si="2"/>
        <v>47</v>
      </c>
      <c r="K20" s="42">
        <f t="shared" si="2"/>
        <v>27</v>
      </c>
      <c r="L20" s="42">
        <f t="shared" si="2"/>
        <v>0</v>
      </c>
      <c r="M20" s="42">
        <f t="shared" si="2"/>
        <v>10</v>
      </c>
      <c r="N20" s="42">
        <f t="shared" si="2"/>
        <v>11</v>
      </c>
      <c r="O20" s="42">
        <f t="shared" si="2"/>
        <v>1</v>
      </c>
      <c r="P20" s="42">
        <f t="shared" si="2"/>
        <v>16</v>
      </c>
      <c r="Q20" s="42">
        <f t="shared" si="2"/>
        <v>0</v>
      </c>
      <c r="R20" s="42">
        <f t="shared" si="2"/>
        <v>102</v>
      </c>
      <c r="S20" s="39"/>
      <c r="T20" s="39"/>
      <c r="U20" s="39"/>
      <c r="V20" s="39"/>
      <c r="W20" s="40"/>
      <c r="X20" s="41" t="s">
        <v>42</v>
      </c>
      <c r="Y20" s="38">
        <f>Y19</f>
        <v>16</v>
      </c>
      <c r="Z20" s="38">
        <f t="shared" ref="Z20:AN20" si="3">Z19</f>
        <v>0</v>
      </c>
      <c r="AA20" s="38">
        <f t="shared" si="3"/>
        <v>0</v>
      </c>
      <c r="AB20" s="38">
        <f t="shared" si="3"/>
        <v>16</v>
      </c>
      <c r="AC20" s="32">
        <f t="shared" si="3"/>
        <v>8</v>
      </c>
      <c r="AD20" s="32">
        <f t="shared" si="3"/>
        <v>0</v>
      </c>
      <c r="AE20" s="32">
        <f t="shared" si="3"/>
        <v>0</v>
      </c>
      <c r="AF20" s="32">
        <f t="shared" si="3"/>
        <v>8</v>
      </c>
      <c r="AG20" s="31">
        <f t="shared" si="3"/>
        <v>8</v>
      </c>
      <c r="AH20" s="31">
        <f t="shared" si="3"/>
        <v>0</v>
      </c>
      <c r="AI20" s="31">
        <f t="shared" si="3"/>
        <v>0</v>
      </c>
      <c r="AJ20" s="31">
        <f t="shared" si="3"/>
        <v>8</v>
      </c>
      <c r="AK20" s="38">
        <f t="shared" si="3"/>
        <v>0</v>
      </c>
      <c r="AL20" s="38">
        <f t="shared" si="3"/>
        <v>0</v>
      </c>
      <c r="AM20" s="38">
        <f t="shared" si="3"/>
        <v>0</v>
      </c>
      <c r="AN20" s="38">
        <f t="shared" si="3"/>
        <v>0</v>
      </c>
    </row>
    <row r="22" spans="1:40" x14ac:dyDescent="0.2">
      <c r="A22" s="178" t="s">
        <v>429</v>
      </c>
    </row>
  </sheetData>
  <mergeCells count="13">
    <mergeCell ref="AP1:AQ1"/>
    <mergeCell ref="Y1:AB1"/>
    <mergeCell ref="AC1:AF1"/>
    <mergeCell ref="AG1:AJ1"/>
    <mergeCell ref="AK1:AN1"/>
    <mergeCell ref="C19:E19"/>
    <mergeCell ref="N1:O1"/>
    <mergeCell ref="P1:R1"/>
    <mergeCell ref="C20:E20"/>
    <mergeCell ref="A1:D1"/>
    <mergeCell ref="E1:G1"/>
    <mergeCell ref="H1:I1"/>
    <mergeCell ref="J1:M1"/>
  </mergeCells>
  <pageMargins left="0.7" right="0.7" top="0.75" bottom="0.75" header="0.3" footer="0.3"/>
  <ignoredErrors>
    <ignoredError sqref="T3 T5" twoDigitTextYea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5F781-1B6C-6549-AA20-4DFC2C368B41}">
  <dimension ref="A1:AQ24"/>
  <sheetViews>
    <sheetView zoomScale="80" zoomScaleNormal="80" workbookViewId="0">
      <selection sqref="A1:D1"/>
    </sheetView>
  </sheetViews>
  <sheetFormatPr baseColWidth="10" defaultColWidth="11.5" defaultRowHeight="16" x14ac:dyDescent="0.2"/>
  <cols>
    <col min="1" max="1" width="6.5" bestFit="1" customWidth="1"/>
    <col min="2" max="2" width="6" bestFit="1" customWidth="1"/>
    <col min="3" max="3" width="12" customWidth="1"/>
    <col min="4" max="4" width="4.83203125" customWidth="1"/>
    <col min="5" max="7" width="4.6640625" customWidth="1"/>
    <col min="8" max="18" width="4.83203125" customWidth="1"/>
    <col min="19" max="19" width="7" customWidth="1"/>
    <col min="20" max="20" width="6.83203125" customWidth="1"/>
    <col min="21" max="21" width="24" bestFit="1" customWidth="1"/>
    <col min="22" max="23" width="29" bestFit="1" customWidth="1"/>
    <col min="24" max="24" width="24" bestFit="1" customWidth="1"/>
    <col min="25" max="40" width="4.83203125" customWidth="1"/>
    <col min="42" max="42" width="14.5" bestFit="1" customWidth="1"/>
  </cols>
  <sheetData>
    <row r="1" spans="1:43" ht="17" thickBot="1" x14ac:dyDescent="0.25">
      <c r="A1" s="548" t="s">
        <v>78</v>
      </c>
      <c r="B1" s="549"/>
      <c r="C1" s="549"/>
      <c r="D1" s="550"/>
      <c r="E1" s="551" t="s">
        <v>0</v>
      </c>
      <c r="F1" s="552"/>
      <c r="G1" s="553"/>
      <c r="H1" s="551" t="s">
        <v>1</v>
      </c>
      <c r="I1" s="553"/>
      <c r="J1" s="554" t="s">
        <v>2</v>
      </c>
      <c r="K1" s="555"/>
      <c r="L1" s="555"/>
      <c r="M1" s="556"/>
      <c r="N1" s="554" t="s">
        <v>3</v>
      </c>
      <c r="O1" s="556"/>
      <c r="P1" s="554" t="s">
        <v>4</v>
      </c>
      <c r="Q1" s="555"/>
      <c r="R1" s="556"/>
      <c r="S1" s="294" t="s">
        <v>5</v>
      </c>
      <c r="T1" s="294" t="s">
        <v>6</v>
      </c>
      <c r="U1" s="295" t="s">
        <v>7</v>
      </c>
      <c r="V1" s="296" t="s">
        <v>8</v>
      </c>
      <c r="W1" s="296" t="s">
        <v>9</v>
      </c>
      <c r="X1" s="297" t="s">
        <v>10</v>
      </c>
      <c r="Y1" s="557" t="s">
        <v>11</v>
      </c>
      <c r="Z1" s="558"/>
      <c r="AA1" s="558"/>
      <c r="AB1" s="559"/>
      <c r="AC1" s="557" t="s">
        <v>12</v>
      </c>
      <c r="AD1" s="558"/>
      <c r="AE1" s="558"/>
      <c r="AF1" s="559"/>
      <c r="AG1" s="557" t="s">
        <v>13</v>
      </c>
      <c r="AH1" s="558"/>
      <c r="AI1" s="558"/>
      <c r="AJ1" s="559"/>
      <c r="AK1" s="557" t="s">
        <v>14</v>
      </c>
      <c r="AL1" s="558"/>
      <c r="AM1" s="558"/>
      <c r="AN1" s="559"/>
      <c r="AP1" s="547" t="s">
        <v>195</v>
      </c>
      <c r="AQ1" s="547"/>
    </row>
    <row r="2" spans="1:43" ht="17" thickBot="1" x14ac:dyDescent="0.25">
      <c r="A2" s="298" t="s">
        <v>15</v>
      </c>
      <c r="B2" s="299" t="s">
        <v>16</v>
      </c>
      <c r="C2" s="300" t="s">
        <v>17</v>
      </c>
      <c r="D2" s="300" t="s">
        <v>18</v>
      </c>
      <c r="E2" s="301" t="s">
        <v>19</v>
      </c>
      <c r="F2" s="301" t="s">
        <v>20</v>
      </c>
      <c r="G2" s="301" t="s">
        <v>21</v>
      </c>
      <c r="H2" s="302" t="s">
        <v>22</v>
      </c>
      <c r="I2" s="302" t="s">
        <v>23</v>
      </c>
      <c r="J2" s="302" t="s">
        <v>24</v>
      </c>
      <c r="K2" s="302" t="s">
        <v>25</v>
      </c>
      <c r="L2" s="302" t="s">
        <v>26</v>
      </c>
      <c r="M2" s="302" t="s">
        <v>27</v>
      </c>
      <c r="N2" s="302" t="s">
        <v>28</v>
      </c>
      <c r="O2" s="302" t="s">
        <v>19</v>
      </c>
      <c r="P2" s="302" t="s">
        <v>22</v>
      </c>
      <c r="Q2" s="302" t="s">
        <v>23</v>
      </c>
      <c r="R2" s="302" t="s">
        <v>24</v>
      </c>
      <c r="S2" s="303"/>
      <c r="T2" s="304"/>
      <c r="U2" s="305"/>
      <c r="V2" s="303"/>
      <c r="W2" s="306"/>
      <c r="X2" s="307"/>
      <c r="Y2" s="308" t="s">
        <v>29</v>
      </c>
      <c r="Z2" s="308" t="s">
        <v>30</v>
      </c>
      <c r="AA2" s="308" t="s">
        <v>26</v>
      </c>
      <c r="AB2" s="308" t="s">
        <v>31</v>
      </c>
      <c r="AC2" s="308" t="s">
        <v>29</v>
      </c>
      <c r="AD2" s="308" t="s">
        <v>30</v>
      </c>
      <c r="AE2" s="308" t="s">
        <v>26</v>
      </c>
      <c r="AF2" s="308" t="s">
        <v>31</v>
      </c>
      <c r="AG2" s="308" t="s">
        <v>29</v>
      </c>
      <c r="AH2" s="308" t="s">
        <v>30</v>
      </c>
      <c r="AI2" s="308" t="s">
        <v>26</v>
      </c>
      <c r="AJ2" s="308" t="s">
        <v>31</v>
      </c>
      <c r="AK2" s="308" t="s">
        <v>29</v>
      </c>
      <c r="AL2" s="308" t="s">
        <v>30</v>
      </c>
      <c r="AM2" s="308" t="s">
        <v>26</v>
      </c>
      <c r="AN2" s="309" t="s">
        <v>31</v>
      </c>
      <c r="AP2" s="333" t="s">
        <v>187</v>
      </c>
      <c r="AQ2" s="329">
        <f>Y22+83</f>
        <v>100</v>
      </c>
    </row>
    <row r="3" spans="1:43" ht="17" thickBot="1" x14ac:dyDescent="0.25">
      <c r="A3" s="1" t="s">
        <v>90</v>
      </c>
      <c r="B3" s="2" t="s">
        <v>44</v>
      </c>
      <c r="C3" s="3" t="s">
        <v>60</v>
      </c>
      <c r="D3" s="4" t="s">
        <v>21</v>
      </c>
      <c r="E3" s="4" t="s">
        <v>31</v>
      </c>
      <c r="F3" s="4">
        <v>19</v>
      </c>
      <c r="G3" s="5">
        <v>25</v>
      </c>
      <c r="H3" s="6">
        <v>0</v>
      </c>
      <c r="I3" s="7">
        <v>1</v>
      </c>
      <c r="J3" s="7">
        <v>1</v>
      </c>
      <c r="K3" s="7">
        <v>1</v>
      </c>
      <c r="L3" s="7">
        <v>0</v>
      </c>
      <c r="M3" s="7">
        <v>4</v>
      </c>
      <c r="N3" s="7">
        <v>0</v>
      </c>
      <c r="O3" s="7">
        <v>1</v>
      </c>
      <c r="P3" s="7">
        <v>0</v>
      </c>
      <c r="Q3" s="7">
        <v>0</v>
      </c>
      <c r="R3" s="7">
        <v>1</v>
      </c>
      <c r="S3" s="8"/>
      <c r="T3" s="9" t="s">
        <v>224</v>
      </c>
      <c r="U3" s="10" t="s">
        <v>205</v>
      </c>
      <c r="V3" s="11" t="s">
        <v>207</v>
      </c>
      <c r="W3" s="12" t="s">
        <v>206</v>
      </c>
      <c r="X3" s="11" t="s">
        <v>255</v>
      </c>
      <c r="Y3" s="11">
        <v>1</v>
      </c>
      <c r="Z3" s="11">
        <v>0</v>
      </c>
      <c r="AA3" s="11">
        <v>0</v>
      </c>
      <c r="AB3" s="13">
        <v>1</v>
      </c>
      <c r="AC3" s="11"/>
      <c r="AD3" s="11"/>
      <c r="AE3" s="11"/>
      <c r="AF3" s="13"/>
      <c r="AG3" s="11">
        <v>1</v>
      </c>
      <c r="AH3" s="11">
        <v>0</v>
      </c>
      <c r="AI3" s="11">
        <v>0</v>
      </c>
      <c r="AJ3" s="13">
        <v>1</v>
      </c>
      <c r="AK3" s="11"/>
      <c r="AL3" s="11"/>
      <c r="AM3" s="11"/>
      <c r="AN3" s="13"/>
      <c r="AP3" s="333" t="s">
        <v>188</v>
      </c>
      <c r="AQ3" s="329">
        <f>Z22+53</f>
        <v>64</v>
      </c>
    </row>
    <row r="4" spans="1:43" ht="17" thickBot="1" x14ac:dyDescent="0.25">
      <c r="A4" s="1" t="s">
        <v>91</v>
      </c>
      <c r="B4" s="2" t="s">
        <v>44</v>
      </c>
      <c r="C4" s="3" t="s">
        <v>51</v>
      </c>
      <c r="D4" s="4" t="s">
        <v>21</v>
      </c>
      <c r="E4" s="7" t="s">
        <v>30</v>
      </c>
      <c r="F4" s="4">
        <v>30</v>
      </c>
      <c r="G4" s="5">
        <v>23</v>
      </c>
      <c r="H4" s="6">
        <v>1</v>
      </c>
      <c r="I4" s="7">
        <v>0</v>
      </c>
      <c r="J4" s="7">
        <v>4</v>
      </c>
      <c r="K4" s="4">
        <v>2</v>
      </c>
      <c r="L4" s="7">
        <v>0</v>
      </c>
      <c r="M4" s="4">
        <v>2</v>
      </c>
      <c r="N4" s="7">
        <v>1</v>
      </c>
      <c r="O4" s="7">
        <v>0</v>
      </c>
      <c r="P4" s="7">
        <v>0</v>
      </c>
      <c r="Q4" s="4">
        <v>1</v>
      </c>
      <c r="R4" s="7">
        <v>3</v>
      </c>
      <c r="S4" s="8"/>
      <c r="T4" s="14" t="s">
        <v>260</v>
      </c>
      <c r="U4" s="10" t="s">
        <v>258</v>
      </c>
      <c r="V4" s="11" t="s">
        <v>242</v>
      </c>
      <c r="W4" s="11" t="s">
        <v>215</v>
      </c>
      <c r="X4" s="12" t="s">
        <v>259</v>
      </c>
      <c r="Y4" s="11">
        <v>1</v>
      </c>
      <c r="Z4" s="11">
        <v>1</v>
      </c>
      <c r="AA4" s="11">
        <v>0</v>
      </c>
      <c r="AB4" s="13">
        <v>0</v>
      </c>
      <c r="AC4" s="11"/>
      <c r="AD4" s="11"/>
      <c r="AE4" s="11"/>
      <c r="AF4" s="13"/>
      <c r="AG4" s="11">
        <v>1</v>
      </c>
      <c r="AH4" s="11">
        <v>1</v>
      </c>
      <c r="AI4" s="11">
        <v>0</v>
      </c>
      <c r="AJ4" s="13">
        <v>0</v>
      </c>
      <c r="AK4" s="11"/>
      <c r="AL4" s="11"/>
      <c r="AM4" s="11"/>
      <c r="AN4" s="13"/>
      <c r="AP4" s="333" t="s">
        <v>189</v>
      </c>
      <c r="AQ4" s="329">
        <f>AA22+1</f>
        <v>1</v>
      </c>
    </row>
    <row r="5" spans="1:43" ht="17" thickBot="1" x14ac:dyDescent="0.25">
      <c r="A5" s="66" t="s">
        <v>50</v>
      </c>
      <c r="B5" s="67" t="s">
        <v>44</v>
      </c>
      <c r="C5" s="68" t="s">
        <v>63</v>
      </c>
      <c r="D5" s="69" t="s">
        <v>47</v>
      </c>
      <c r="E5" s="69" t="s">
        <v>30</v>
      </c>
      <c r="F5" s="69">
        <v>19</v>
      </c>
      <c r="G5" s="70">
        <v>18</v>
      </c>
      <c r="H5" s="79">
        <v>0</v>
      </c>
      <c r="I5" s="70">
        <v>0</v>
      </c>
      <c r="J5" s="72">
        <v>1</v>
      </c>
      <c r="K5" s="72">
        <v>1</v>
      </c>
      <c r="L5" s="72">
        <v>0</v>
      </c>
      <c r="M5" s="72">
        <v>4</v>
      </c>
      <c r="N5" s="72">
        <v>0</v>
      </c>
      <c r="O5" s="72">
        <v>0</v>
      </c>
      <c r="P5" s="69">
        <v>0</v>
      </c>
      <c r="Q5" s="72">
        <v>1</v>
      </c>
      <c r="R5" s="69">
        <v>2</v>
      </c>
      <c r="S5" s="73"/>
      <c r="T5" s="172" t="s">
        <v>280</v>
      </c>
      <c r="U5" s="75" t="s">
        <v>201</v>
      </c>
      <c r="V5" s="76" t="s">
        <v>206</v>
      </c>
      <c r="W5" s="76" t="s">
        <v>199</v>
      </c>
      <c r="X5" s="77" t="s">
        <v>281</v>
      </c>
      <c r="Y5" s="76">
        <v>1</v>
      </c>
      <c r="Z5" s="76">
        <v>1</v>
      </c>
      <c r="AA5" s="76">
        <v>0</v>
      </c>
      <c r="AB5" s="78">
        <v>0</v>
      </c>
      <c r="AC5" s="76">
        <v>1</v>
      </c>
      <c r="AD5" s="76">
        <v>1</v>
      </c>
      <c r="AE5" s="76">
        <v>0</v>
      </c>
      <c r="AF5" s="78">
        <v>0</v>
      </c>
      <c r="AG5" s="76"/>
      <c r="AH5" s="76"/>
      <c r="AI5" s="76"/>
      <c r="AJ5" s="78"/>
      <c r="AK5" s="76"/>
      <c r="AL5" s="76"/>
      <c r="AM5" s="76"/>
      <c r="AN5" s="78"/>
      <c r="AP5" s="333" t="s">
        <v>190</v>
      </c>
      <c r="AQ5" s="329">
        <f>AB22+29</f>
        <v>35</v>
      </c>
    </row>
    <row r="6" spans="1:43" ht="17" thickBot="1" x14ac:dyDescent="0.25">
      <c r="A6" s="1" t="s">
        <v>33</v>
      </c>
      <c r="B6" s="2" t="s">
        <v>44</v>
      </c>
      <c r="C6" s="3" t="s">
        <v>53</v>
      </c>
      <c r="D6" s="4" t="s">
        <v>21</v>
      </c>
      <c r="E6" s="4" t="s">
        <v>30</v>
      </c>
      <c r="F6" s="4">
        <v>27</v>
      </c>
      <c r="G6" s="5">
        <v>11</v>
      </c>
      <c r="H6" s="5">
        <v>1</v>
      </c>
      <c r="I6" s="7">
        <v>0</v>
      </c>
      <c r="J6" s="4">
        <v>4</v>
      </c>
      <c r="K6" s="4">
        <v>2</v>
      </c>
      <c r="L6" s="7">
        <v>0</v>
      </c>
      <c r="M6" s="7">
        <v>1</v>
      </c>
      <c r="N6" s="7">
        <v>0</v>
      </c>
      <c r="O6" s="7">
        <v>0</v>
      </c>
      <c r="P6" s="7">
        <v>0</v>
      </c>
      <c r="Q6" s="4">
        <v>0</v>
      </c>
      <c r="R6" s="7">
        <v>1</v>
      </c>
      <c r="S6" s="8"/>
      <c r="T6" s="14" t="s">
        <v>301</v>
      </c>
      <c r="U6" s="11" t="s">
        <v>294</v>
      </c>
      <c r="V6" s="11" t="s">
        <v>211</v>
      </c>
      <c r="W6" s="11" t="s">
        <v>208</v>
      </c>
      <c r="X6" s="10" t="s">
        <v>295</v>
      </c>
      <c r="Y6" s="11">
        <v>1</v>
      </c>
      <c r="Z6" s="11">
        <v>1</v>
      </c>
      <c r="AA6" s="11">
        <v>0</v>
      </c>
      <c r="AB6" s="13">
        <v>0</v>
      </c>
      <c r="AC6" s="11"/>
      <c r="AD6" s="11"/>
      <c r="AE6" s="11"/>
      <c r="AF6" s="13"/>
      <c r="AG6" s="11">
        <v>1</v>
      </c>
      <c r="AH6" s="11">
        <v>1</v>
      </c>
      <c r="AI6" s="11">
        <v>0</v>
      </c>
      <c r="AJ6" s="13">
        <v>0</v>
      </c>
      <c r="AK6" s="11"/>
      <c r="AL6" s="11"/>
      <c r="AM6" s="11"/>
      <c r="AN6" s="13"/>
      <c r="AP6" s="333" t="s">
        <v>191</v>
      </c>
      <c r="AQ6" s="329">
        <f>F22+2437</f>
        <v>2867</v>
      </c>
    </row>
    <row r="7" spans="1:43" ht="17" thickBot="1" x14ac:dyDescent="0.25">
      <c r="A7" s="1" t="s">
        <v>96</v>
      </c>
      <c r="B7" s="2" t="s">
        <v>44</v>
      </c>
      <c r="C7" s="3" t="s">
        <v>52</v>
      </c>
      <c r="D7" s="4" t="s">
        <v>21</v>
      </c>
      <c r="E7" s="7" t="s">
        <v>30</v>
      </c>
      <c r="F7" s="4">
        <v>22</v>
      </c>
      <c r="G7" s="5">
        <v>21</v>
      </c>
      <c r="H7" s="6">
        <v>0</v>
      </c>
      <c r="I7" s="4">
        <v>0</v>
      </c>
      <c r="J7" s="7">
        <v>3</v>
      </c>
      <c r="K7" s="7">
        <v>1</v>
      </c>
      <c r="L7" s="7">
        <v>0</v>
      </c>
      <c r="M7" s="7">
        <v>1</v>
      </c>
      <c r="N7" s="7">
        <v>1</v>
      </c>
      <c r="O7" s="7">
        <v>0</v>
      </c>
      <c r="P7" s="7">
        <v>0</v>
      </c>
      <c r="Q7" s="7">
        <v>1</v>
      </c>
      <c r="R7" s="7">
        <v>2</v>
      </c>
      <c r="S7" s="8"/>
      <c r="T7" s="14" t="s">
        <v>323</v>
      </c>
      <c r="U7" s="10" t="s">
        <v>197</v>
      </c>
      <c r="V7" s="11" t="s">
        <v>214</v>
      </c>
      <c r="W7" s="11" t="s">
        <v>241</v>
      </c>
      <c r="X7" s="12" t="s">
        <v>210</v>
      </c>
      <c r="Y7" s="11">
        <v>1</v>
      </c>
      <c r="Z7" s="11">
        <v>1</v>
      </c>
      <c r="AA7" s="11">
        <v>0</v>
      </c>
      <c r="AB7" s="13">
        <v>0</v>
      </c>
      <c r="AC7" s="11"/>
      <c r="AD7" s="11"/>
      <c r="AE7" s="11"/>
      <c r="AF7" s="13"/>
      <c r="AG7" s="11">
        <v>1</v>
      </c>
      <c r="AH7" s="11">
        <v>1</v>
      </c>
      <c r="AI7" s="11">
        <v>0</v>
      </c>
      <c r="AJ7" s="13">
        <v>0</v>
      </c>
      <c r="AK7" s="11"/>
      <c r="AL7" s="11"/>
      <c r="AM7" s="11"/>
      <c r="AN7" s="13"/>
      <c r="AP7" s="333" t="s">
        <v>192</v>
      </c>
      <c r="AQ7" s="329">
        <f>G22+1946</f>
        <v>2336</v>
      </c>
    </row>
    <row r="8" spans="1:43" ht="17" thickBot="1" x14ac:dyDescent="0.25">
      <c r="A8" s="66" t="s">
        <v>56</v>
      </c>
      <c r="B8" s="67" t="s">
        <v>44</v>
      </c>
      <c r="C8" s="68" t="s">
        <v>49</v>
      </c>
      <c r="D8" s="69" t="s">
        <v>47</v>
      </c>
      <c r="E8" s="72" t="s">
        <v>30</v>
      </c>
      <c r="F8" s="69">
        <v>33</v>
      </c>
      <c r="G8" s="70">
        <v>20</v>
      </c>
      <c r="H8" s="71">
        <v>1</v>
      </c>
      <c r="I8" s="69">
        <v>0</v>
      </c>
      <c r="J8" s="72">
        <v>5</v>
      </c>
      <c r="K8" s="72">
        <v>2</v>
      </c>
      <c r="L8" s="72">
        <v>0</v>
      </c>
      <c r="M8" s="72">
        <v>0</v>
      </c>
      <c r="N8" s="72">
        <v>1</v>
      </c>
      <c r="O8" s="72">
        <v>0</v>
      </c>
      <c r="P8" s="69">
        <v>0</v>
      </c>
      <c r="Q8" s="72">
        <v>0</v>
      </c>
      <c r="R8" s="72">
        <v>2</v>
      </c>
      <c r="S8" s="73"/>
      <c r="T8" s="172" t="s">
        <v>340</v>
      </c>
      <c r="U8" s="75" t="s">
        <v>254</v>
      </c>
      <c r="V8" s="76" t="s">
        <v>242</v>
      </c>
      <c r="W8" s="76" t="s">
        <v>215</v>
      </c>
      <c r="X8" s="77" t="s">
        <v>259</v>
      </c>
      <c r="Y8" s="76">
        <v>1</v>
      </c>
      <c r="Z8" s="76">
        <v>1</v>
      </c>
      <c r="AA8" s="76">
        <v>0</v>
      </c>
      <c r="AB8" s="78">
        <v>0</v>
      </c>
      <c r="AC8" s="76">
        <v>1</v>
      </c>
      <c r="AD8" s="76">
        <v>1</v>
      </c>
      <c r="AE8" s="76">
        <v>0</v>
      </c>
      <c r="AF8" s="78">
        <v>0</v>
      </c>
      <c r="AG8" s="76"/>
      <c r="AH8" s="76"/>
      <c r="AI8" s="76"/>
      <c r="AJ8" s="78"/>
      <c r="AK8" s="76"/>
      <c r="AL8" s="76"/>
      <c r="AM8" s="76"/>
      <c r="AN8" s="78"/>
      <c r="AP8" s="333" t="s">
        <v>193</v>
      </c>
      <c r="AQ8" s="329">
        <f>J22+329</f>
        <v>383</v>
      </c>
    </row>
    <row r="9" spans="1:43" ht="17" thickBot="1" x14ac:dyDescent="0.25">
      <c r="A9" s="66" t="s">
        <v>84</v>
      </c>
      <c r="B9" s="67" t="s">
        <v>44</v>
      </c>
      <c r="C9" s="68" t="s">
        <v>55</v>
      </c>
      <c r="D9" s="69" t="s">
        <v>47</v>
      </c>
      <c r="E9" s="72" t="s">
        <v>31</v>
      </c>
      <c r="F9" s="69">
        <v>32</v>
      </c>
      <c r="G9" s="70">
        <v>33</v>
      </c>
      <c r="H9" s="71">
        <v>1</v>
      </c>
      <c r="I9" s="72">
        <v>1</v>
      </c>
      <c r="J9" s="72">
        <v>4</v>
      </c>
      <c r="K9" s="72">
        <v>2</v>
      </c>
      <c r="L9" s="72">
        <v>0</v>
      </c>
      <c r="M9" s="72">
        <v>2</v>
      </c>
      <c r="N9" s="72">
        <v>2</v>
      </c>
      <c r="O9" s="72">
        <v>0</v>
      </c>
      <c r="P9" s="72">
        <v>0</v>
      </c>
      <c r="Q9" s="72">
        <v>0</v>
      </c>
      <c r="R9" s="72">
        <v>3</v>
      </c>
      <c r="S9" s="73"/>
      <c r="T9" s="74" t="s">
        <v>354</v>
      </c>
      <c r="U9" s="75" t="s">
        <v>258</v>
      </c>
      <c r="V9" s="76" t="s">
        <v>297</v>
      </c>
      <c r="W9" s="76" t="s">
        <v>202</v>
      </c>
      <c r="X9" s="77" t="s">
        <v>259</v>
      </c>
      <c r="Y9" s="76">
        <v>1</v>
      </c>
      <c r="Z9" s="76">
        <v>0</v>
      </c>
      <c r="AA9" s="76">
        <v>0</v>
      </c>
      <c r="AB9" s="78">
        <v>1</v>
      </c>
      <c r="AC9" s="76">
        <v>1</v>
      </c>
      <c r="AD9" s="76">
        <v>0</v>
      </c>
      <c r="AE9" s="76">
        <v>0</v>
      </c>
      <c r="AF9" s="78">
        <v>1</v>
      </c>
      <c r="AG9" s="76"/>
      <c r="AH9" s="76"/>
      <c r="AI9" s="76"/>
      <c r="AJ9" s="78"/>
      <c r="AK9" s="76"/>
      <c r="AL9" s="76"/>
      <c r="AM9" s="76"/>
      <c r="AN9" s="78"/>
      <c r="AP9" s="333" t="s">
        <v>194</v>
      </c>
      <c r="AQ9" s="329">
        <f>R22+252</f>
        <v>301</v>
      </c>
    </row>
    <row r="10" spans="1:43" ht="17" thickBot="1" x14ac:dyDescent="0.25">
      <c r="A10" s="1" t="s">
        <v>93</v>
      </c>
      <c r="B10" s="2" t="s">
        <v>44</v>
      </c>
      <c r="C10" s="3" t="s">
        <v>61</v>
      </c>
      <c r="D10" s="4" t="s">
        <v>21</v>
      </c>
      <c r="E10" s="4" t="s">
        <v>31</v>
      </c>
      <c r="F10" s="4">
        <v>0</v>
      </c>
      <c r="G10" s="5">
        <v>33</v>
      </c>
      <c r="H10" s="6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4">
        <v>3</v>
      </c>
      <c r="O10" s="7">
        <v>0</v>
      </c>
      <c r="P10" s="7">
        <v>1</v>
      </c>
      <c r="Q10" s="4">
        <v>0</v>
      </c>
      <c r="R10" s="7">
        <v>5</v>
      </c>
      <c r="S10" s="8"/>
      <c r="T10" s="9" t="s">
        <v>364</v>
      </c>
      <c r="U10" s="10" t="s">
        <v>197</v>
      </c>
      <c r="V10" s="11" t="s">
        <v>297</v>
      </c>
      <c r="W10" s="11" t="s">
        <v>199</v>
      </c>
      <c r="X10" s="12" t="s">
        <v>200</v>
      </c>
      <c r="Y10" s="11">
        <v>1</v>
      </c>
      <c r="Z10" s="11">
        <v>0</v>
      </c>
      <c r="AA10" s="11">
        <v>0</v>
      </c>
      <c r="AB10" s="13">
        <v>1</v>
      </c>
      <c r="AC10" s="11"/>
      <c r="AD10" s="11"/>
      <c r="AE10" s="11"/>
      <c r="AF10" s="13"/>
      <c r="AG10" s="11">
        <v>1</v>
      </c>
      <c r="AH10" s="11">
        <v>0</v>
      </c>
      <c r="AI10" s="11">
        <v>0</v>
      </c>
      <c r="AJ10" s="13">
        <v>1</v>
      </c>
      <c r="AK10" s="11"/>
      <c r="AL10" s="11"/>
      <c r="AM10" s="11"/>
      <c r="AN10" s="13"/>
    </row>
    <row r="11" spans="1:43" ht="17" thickBot="1" x14ac:dyDescent="0.25">
      <c r="A11" s="66" t="s">
        <v>85</v>
      </c>
      <c r="B11" s="67" t="s">
        <v>44</v>
      </c>
      <c r="C11" s="68" t="s">
        <v>51</v>
      </c>
      <c r="D11" s="69" t="s">
        <v>47</v>
      </c>
      <c r="E11" s="69" t="s">
        <v>30</v>
      </c>
      <c r="F11" s="69">
        <v>30</v>
      </c>
      <c r="G11" s="70">
        <v>24</v>
      </c>
      <c r="H11" s="71">
        <v>0</v>
      </c>
      <c r="I11" s="72">
        <v>0</v>
      </c>
      <c r="J11" s="72">
        <v>3</v>
      </c>
      <c r="K11" s="72">
        <v>3</v>
      </c>
      <c r="L11" s="72">
        <v>0</v>
      </c>
      <c r="M11" s="72">
        <v>0</v>
      </c>
      <c r="N11" s="72">
        <v>0</v>
      </c>
      <c r="O11" s="72">
        <v>0</v>
      </c>
      <c r="P11" s="72">
        <v>1</v>
      </c>
      <c r="Q11" s="69">
        <v>1</v>
      </c>
      <c r="R11" s="72">
        <v>4</v>
      </c>
      <c r="S11" s="73"/>
      <c r="T11" s="80" t="s">
        <v>383</v>
      </c>
      <c r="U11" s="75" t="s">
        <v>199</v>
      </c>
      <c r="V11" s="76" t="s">
        <v>214</v>
      </c>
      <c r="W11" s="76" t="s">
        <v>281</v>
      </c>
      <c r="X11" s="77" t="s">
        <v>207</v>
      </c>
      <c r="Y11" s="76">
        <v>1</v>
      </c>
      <c r="Z11" s="76">
        <v>1</v>
      </c>
      <c r="AA11" s="76">
        <v>0</v>
      </c>
      <c r="AB11" s="78">
        <v>0</v>
      </c>
      <c r="AC11" s="76">
        <v>1</v>
      </c>
      <c r="AD11" s="76">
        <v>1</v>
      </c>
      <c r="AE11" s="76">
        <v>0</v>
      </c>
      <c r="AF11" s="78">
        <v>0</v>
      </c>
      <c r="AG11" s="76"/>
      <c r="AH11" s="76"/>
      <c r="AI11" s="76"/>
      <c r="AJ11" s="78"/>
      <c r="AK11" s="76"/>
      <c r="AL11" s="76"/>
      <c r="AM11" s="76"/>
      <c r="AN11" s="78"/>
    </row>
    <row r="12" spans="1:43" ht="17" thickBot="1" x14ac:dyDescent="0.25">
      <c r="A12" s="81" t="s">
        <v>62</v>
      </c>
      <c r="B12" s="67" t="s">
        <v>44</v>
      </c>
      <c r="C12" s="68" t="s">
        <v>46</v>
      </c>
      <c r="D12" s="69" t="s">
        <v>47</v>
      </c>
      <c r="E12" s="69" t="s">
        <v>31</v>
      </c>
      <c r="F12" s="69">
        <v>23</v>
      </c>
      <c r="G12" s="70">
        <v>24</v>
      </c>
      <c r="H12" s="71">
        <v>0</v>
      </c>
      <c r="I12" s="72">
        <v>1</v>
      </c>
      <c r="J12" s="72">
        <v>3</v>
      </c>
      <c r="K12" s="72">
        <v>1</v>
      </c>
      <c r="L12" s="72">
        <v>0</v>
      </c>
      <c r="M12" s="72">
        <v>2</v>
      </c>
      <c r="N12" s="69">
        <v>0</v>
      </c>
      <c r="O12" s="72">
        <v>1</v>
      </c>
      <c r="P12" s="72">
        <v>0</v>
      </c>
      <c r="Q12" s="72">
        <v>0</v>
      </c>
      <c r="R12" s="72">
        <v>3</v>
      </c>
      <c r="S12" s="82"/>
      <c r="T12" s="84" t="s">
        <v>334</v>
      </c>
      <c r="U12" s="75" t="s">
        <v>197</v>
      </c>
      <c r="V12" s="76" t="s">
        <v>276</v>
      </c>
      <c r="W12" s="76" t="s">
        <v>206</v>
      </c>
      <c r="X12" s="77" t="s">
        <v>281</v>
      </c>
      <c r="Y12" s="76">
        <v>1</v>
      </c>
      <c r="Z12" s="76">
        <v>0</v>
      </c>
      <c r="AA12" s="76">
        <v>0</v>
      </c>
      <c r="AB12" s="78">
        <v>1</v>
      </c>
      <c r="AC12" s="76">
        <v>1</v>
      </c>
      <c r="AD12" s="76">
        <v>0</v>
      </c>
      <c r="AE12" s="76">
        <v>0</v>
      </c>
      <c r="AF12" s="78">
        <v>1</v>
      </c>
      <c r="AG12" s="76"/>
      <c r="AH12" s="76"/>
      <c r="AI12" s="76"/>
      <c r="AJ12" s="78"/>
      <c r="AK12" s="76"/>
      <c r="AL12" s="76"/>
      <c r="AM12" s="76"/>
      <c r="AN12" s="78"/>
    </row>
    <row r="13" spans="1:43" ht="17" thickBot="1" x14ac:dyDescent="0.25">
      <c r="A13" s="16" t="s">
        <v>86</v>
      </c>
      <c r="B13" s="2" t="s">
        <v>44</v>
      </c>
      <c r="C13" s="3" t="s">
        <v>63</v>
      </c>
      <c r="D13" s="4" t="s">
        <v>21</v>
      </c>
      <c r="E13" s="4" t="s">
        <v>30</v>
      </c>
      <c r="F13" s="4">
        <v>27</v>
      </c>
      <c r="G13" s="5">
        <v>19</v>
      </c>
      <c r="H13" s="6">
        <v>1</v>
      </c>
      <c r="I13" s="7">
        <v>0</v>
      </c>
      <c r="J13" s="7">
        <v>4</v>
      </c>
      <c r="K13" s="7">
        <v>2</v>
      </c>
      <c r="L13" s="7">
        <v>0</v>
      </c>
      <c r="M13" s="7">
        <v>1</v>
      </c>
      <c r="N13" s="7">
        <v>2</v>
      </c>
      <c r="O13" s="7">
        <v>0</v>
      </c>
      <c r="P13" s="7">
        <v>0</v>
      </c>
      <c r="Q13" s="7">
        <v>0</v>
      </c>
      <c r="R13" s="7">
        <v>3</v>
      </c>
      <c r="S13" s="17"/>
      <c r="T13" s="14" t="s">
        <v>419</v>
      </c>
      <c r="U13" s="10" t="s">
        <v>205</v>
      </c>
      <c r="V13" s="11" t="s">
        <v>297</v>
      </c>
      <c r="W13" s="11" t="s">
        <v>213</v>
      </c>
      <c r="X13" s="12" t="s">
        <v>216</v>
      </c>
      <c r="Y13" s="11">
        <v>1</v>
      </c>
      <c r="Z13" s="11">
        <v>1</v>
      </c>
      <c r="AA13" s="11">
        <v>0</v>
      </c>
      <c r="AB13" s="13">
        <v>0</v>
      </c>
      <c r="AC13" s="11"/>
      <c r="AD13" s="11"/>
      <c r="AE13" s="11"/>
      <c r="AF13" s="13"/>
      <c r="AG13" s="11">
        <v>1</v>
      </c>
      <c r="AH13" s="11">
        <v>1</v>
      </c>
      <c r="AI13" s="11">
        <v>0</v>
      </c>
      <c r="AJ13" s="13">
        <v>0</v>
      </c>
      <c r="AK13" s="11"/>
      <c r="AL13" s="11"/>
      <c r="AM13" s="11"/>
      <c r="AN13" s="13"/>
    </row>
    <row r="14" spans="1:43" ht="17" thickBot="1" x14ac:dyDescent="0.25">
      <c r="A14" s="16" t="s">
        <v>64</v>
      </c>
      <c r="B14" s="2" t="s">
        <v>44</v>
      </c>
      <c r="C14" s="3" t="s">
        <v>55</v>
      </c>
      <c r="D14" s="4" t="s">
        <v>21</v>
      </c>
      <c r="E14" s="4" t="s">
        <v>30</v>
      </c>
      <c r="F14" s="4">
        <v>27</v>
      </c>
      <c r="G14" s="5">
        <v>20</v>
      </c>
      <c r="H14" s="6">
        <v>0</v>
      </c>
      <c r="I14" s="7">
        <v>0</v>
      </c>
      <c r="J14" s="7">
        <v>3</v>
      </c>
      <c r="K14" s="7">
        <v>3</v>
      </c>
      <c r="L14" s="7">
        <v>0</v>
      </c>
      <c r="M14" s="7">
        <v>2</v>
      </c>
      <c r="N14" s="7">
        <v>1</v>
      </c>
      <c r="O14" s="7">
        <v>0</v>
      </c>
      <c r="P14" s="7">
        <v>0</v>
      </c>
      <c r="Q14" s="7">
        <v>0</v>
      </c>
      <c r="R14" s="7">
        <v>3</v>
      </c>
      <c r="S14" s="17"/>
      <c r="T14" s="384" t="s">
        <v>425</v>
      </c>
      <c r="U14" s="10" t="s">
        <v>201</v>
      </c>
      <c r="V14" s="11" t="s">
        <v>242</v>
      </c>
      <c r="W14" s="11" t="s">
        <v>426</v>
      </c>
      <c r="X14" s="12" t="s">
        <v>251</v>
      </c>
      <c r="Y14" s="11">
        <v>1</v>
      </c>
      <c r="Z14" s="11">
        <v>1</v>
      </c>
      <c r="AA14" s="11">
        <v>0</v>
      </c>
      <c r="AB14" s="13">
        <v>0</v>
      </c>
      <c r="AC14" s="11" t="s">
        <v>153</v>
      </c>
      <c r="AD14" s="11" t="s">
        <v>153</v>
      </c>
      <c r="AE14" s="11"/>
      <c r="AF14" s="13"/>
      <c r="AG14" s="11">
        <v>1</v>
      </c>
      <c r="AH14" s="11">
        <v>1</v>
      </c>
      <c r="AI14" s="11">
        <v>0</v>
      </c>
      <c r="AJ14" s="13">
        <v>1</v>
      </c>
      <c r="AK14" s="11"/>
      <c r="AL14" s="11"/>
      <c r="AM14" s="11"/>
      <c r="AN14" s="13"/>
    </row>
    <row r="15" spans="1:43" ht="17" thickBot="1" x14ac:dyDescent="0.25">
      <c r="A15" s="81" t="s">
        <v>65</v>
      </c>
      <c r="B15" s="67" t="s">
        <v>44</v>
      </c>
      <c r="C15" s="68" t="s">
        <v>83</v>
      </c>
      <c r="D15" s="69" t="s">
        <v>47</v>
      </c>
      <c r="E15" s="69" t="s">
        <v>30</v>
      </c>
      <c r="F15" s="69">
        <v>34</v>
      </c>
      <c r="G15" s="70">
        <v>24</v>
      </c>
      <c r="H15" s="71">
        <v>1</v>
      </c>
      <c r="I15" s="72">
        <v>0</v>
      </c>
      <c r="J15" s="72">
        <v>5</v>
      </c>
      <c r="K15" s="72">
        <v>3</v>
      </c>
      <c r="L15" s="72">
        <v>0</v>
      </c>
      <c r="M15" s="72">
        <v>1</v>
      </c>
      <c r="N15" s="72">
        <v>1</v>
      </c>
      <c r="O15" s="72">
        <v>0</v>
      </c>
      <c r="P15" s="72">
        <v>0</v>
      </c>
      <c r="Q15" s="72">
        <v>0</v>
      </c>
      <c r="R15" s="72">
        <v>3</v>
      </c>
      <c r="S15" s="82"/>
      <c r="T15" s="80" t="s">
        <v>418</v>
      </c>
      <c r="U15" s="75" t="s">
        <v>206</v>
      </c>
      <c r="V15" s="76" t="s">
        <v>207</v>
      </c>
      <c r="W15" s="76" t="s">
        <v>208</v>
      </c>
      <c r="X15" s="77" t="s">
        <v>259</v>
      </c>
      <c r="Y15" s="76">
        <v>1</v>
      </c>
      <c r="Z15" s="76">
        <v>1</v>
      </c>
      <c r="AA15" s="76">
        <v>0</v>
      </c>
      <c r="AB15" s="78">
        <v>0</v>
      </c>
      <c r="AC15" s="76">
        <v>1</v>
      </c>
      <c r="AD15" s="76">
        <v>1</v>
      </c>
      <c r="AE15" s="76">
        <v>0</v>
      </c>
      <c r="AF15" s="78">
        <v>0</v>
      </c>
      <c r="AG15" s="76"/>
      <c r="AH15" s="76"/>
      <c r="AI15" s="76"/>
      <c r="AJ15" s="78"/>
      <c r="AK15" s="76"/>
      <c r="AL15" s="76"/>
      <c r="AM15" s="76"/>
      <c r="AN15" s="78"/>
    </row>
    <row r="16" spans="1:43" ht="17" thickBot="1" x14ac:dyDescent="0.25">
      <c r="A16" s="16" t="s">
        <v>88</v>
      </c>
      <c r="B16" s="2" t="s">
        <v>44</v>
      </c>
      <c r="C16" s="3" t="s">
        <v>57</v>
      </c>
      <c r="D16" s="4" t="s">
        <v>21</v>
      </c>
      <c r="E16" s="4" t="s">
        <v>31</v>
      </c>
      <c r="F16" s="4">
        <v>16</v>
      </c>
      <c r="G16" s="5">
        <v>22</v>
      </c>
      <c r="H16" s="6">
        <v>0</v>
      </c>
      <c r="I16" s="7">
        <v>1</v>
      </c>
      <c r="J16" s="7">
        <v>2</v>
      </c>
      <c r="K16" s="7">
        <v>0</v>
      </c>
      <c r="L16" s="7">
        <v>0</v>
      </c>
      <c r="M16" s="7">
        <v>2</v>
      </c>
      <c r="N16" s="7">
        <v>2</v>
      </c>
      <c r="O16" s="7">
        <v>0</v>
      </c>
      <c r="P16" s="7">
        <v>0</v>
      </c>
      <c r="Q16" s="7">
        <v>0</v>
      </c>
      <c r="R16" s="7">
        <v>2</v>
      </c>
      <c r="S16" s="17"/>
      <c r="T16" s="19" t="s">
        <v>438</v>
      </c>
      <c r="U16" s="10" t="s">
        <v>430</v>
      </c>
      <c r="V16" s="11" t="s">
        <v>326</v>
      </c>
      <c r="W16" s="11" t="s">
        <v>283</v>
      </c>
      <c r="X16" s="11" t="s">
        <v>320</v>
      </c>
      <c r="Y16" s="11">
        <v>1</v>
      </c>
      <c r="Z16" s="11">
        <v>0</v>
      </c>
      <c r="AA16" s="11">
        <v>0</v>
      </c>
      <c r="AB16" s="13">
        <v>1</v>
      </c>
      <c r="AC16" s="11"/>
      <c r="AD16" s="11"/>
      <c r="AE16" s="11"/>
      <c r="AF16" s="13"/>
      <c r="AG16" s="11">
        <v>1</v>
      </c>
      <c r="AH16" s="11">
        <v>0</v>
      </c>
      <c r="AI16" s="11">
        <v>0</v>
      </c>
      <c r="AJ16" s="13">
        <v>1</v>
      </c>
      <c r="AK16" s="11"/>
      <c r="AL16" s="11"/>
      <c r="AM16" s="11"/>
      <c r="AN16" s="13"/>
    </row>
    <row r="17" spans="1:40" ht="17" thickBot="1" x14ac:dyDescent="0.25">
      <c r="A17" s="81" t="s">
        <v>68</v>
      </c>
      <c r="B17" s="67" t="s">
        <v>44</v>
      </c>
      <c r="C17" s="68" t="s">
        <v>61</v>
      </c>
      <c r="D17" s="69" t="s">
        <v>47</v>
      </c>
      <c r="E17" s="69" t="s">
        <v>30</v>
      </c>
      <c r="F17" s="69">
        <v>18</v>
      </c>
      <c r="G17" s="70">
        <v>10</v>
      </c>
      <c r="H17" s="71">
        <v>0</v>
      </c>
      <c r="I17" s="72">
        <v>0</v>
      </c>
      <c r="J17" s="72">
        <v>3</v>
      </c>
      <c r="K17" s="72">
        <v>2</v>
      </c>
      <c r="L17" s="72">
        <v>0</v>
      </c>
      <c r="M17" s="72">
        <v>6</v>
      </c>
      <c r="N17" s="69">
        <v>1</v>
      </c>
      <c r="O17" s="72">
        <v>0</v>
      </c>
      <c r="P17" s="72">
        <v>0</v>
      </c>
      <c r="Q17" s="72">
        <v>0</v>
      </c>
      <c r="R17" s="72">
        <v>3</v>
      </c>
      <c r="S17" s="73"/>
      <c r="T17" s="80" t="s">
        <v>465</v>
      </c>
      <c r="U17" s="76" t="s">
        <v>214</v>
      </c>
      <c r="V17" s="76" t="s">
        <v>207</v>
      </c>
      <c r="W17" s="76" t="s">
        <v>216</v>
      </c>
      <c r="X17" s="76" t="s">
        <v>281</v>
      </c>
      <c r="Y17" s="76">
        <v>1</v>
      </c>
      <c r="Z17" s="76">
        <v>1</v>
      </c>
      <c r="AA17" s="76">
        <v>0</v>
      </c>
      <c r="AB17" s="78">
        <v>0</v>
      </c>
      <c r="AC17" s="76">
        <v>1</v>
      </c>
      <c r="AD17" s="76">
        <v>1</v>
      </c>
      <c r="AE17" s="76">
        <v>0</v>
      </c>
      <c r="AF17" s="78">
        <v>0</v>
      </c>
      <c r="AG17" s="76"/>
      <c r="AH17" s="76"/>
      <c r="AI17" s="76"/>
      <c r="AJ17" s="78"/>
      <c r="AK17" s="76"/>
      <c r="AL17" s="76"/>
      <c r="AM17" s="76"/>
      <c r="AN17" s="78"/>
    </row>
    <row r="18" spans="1:40" ht="17" thickBot="1" x14ac:dyDescent="0.25">
      <c r="A18" s="81" t="s">
        <v>89</v>
      </c>
      <c r="B18" s="67" t="s">
        <v>44</v>
      </c>
      <c r="C18" s="161" t="s">
        <v>60</v>
      </c>
      <c r="D18" s="162" t="s">
        <v>47</v>
      </c>
      <c r="E18" s="162" t="s">
        <v>30</v>
      </c>
      <c r="F18" s="163">
        <v>45</v>
      </c>
      <c r="G18" s="164">
        <v>33</v>
      </c>
      <c r="H18" s="165">
        <v>1</v>
      </c>
      <c r="I18" s="166">
        <v>0</v>
      </c>
      <c r="J18" s="166">
        <v>6</v>
      </c>
      <c r="K18" s="166">
        <v>2</v>
      </c>
      <c r="L18" s="166">
        <v>0</v>
      </c>
      <c r="M18" s="166">
        <v>3</v>
      </c>
      <c r="N18" s="166">
        <v>0</v>
      </c>
      <c r="O18" s="166">
        <v>0</v>
      </c>
      <c r="P18" s="166">
        <v>1</v>
      </c>
      <c r="Q18" s="166">
        <v>0</v>
      </c>
      <c r="R18" s="166">
        <v>5</v>
      </c>
      <c r="S18" s="167"/>
      <c r="T18" s="397" t="s">
        <v>475</v>
      </c>
      <c r="U18" s="169" t="s">
        <v>468</v>
      </c>
      <c r="V18" s="169" t="s">
        <v>207</v>
      </c>
      <c r="W18" s="169" t="s">
        <v>212</v>
      </c>
      <c r="X18" s="170" t="s">
        <v>262</v>
      </c>
      <c r="Y18" s="169">
        <v>1</v>
      </c>
      <c r="Z18" s="169">
        <v>1</v>
      </c>
      <c r="AA18" s="169">
        <v>0</v>
      </c>
      <c r="AB18" s="171">
        <v>0</v>
      </c>
      <c r="AC18" s="169">
        <v>1</v>
      </c>
      <c r="AD18" s="169">
        <v>1</v>
      </c>
      <c r="AE18" s="169">
        <v>0</v>
      </c>
      <c r="AF18" s="171">
        <v>0</v>
      </c>
      <c r="AG18" s="169"/>
      <c r="AH18" s="169"/>
      <c r="AI18" s="169"/>
      <c r="AJ18" s="171"/>
      <c r="AK18" s="169"/>
      <c r="AL18" s="169"/>
      <c r="AM18" s="169"/>
      <c r="AN18" s="171"/>
    </row>
    <row r="19" spans="1:40" ht="17" thickBot="1" x14ac:dyDescent="0.25">
      <c r="A19" s="402" t="s">
        <v>477</v>
      </c>
      <c r="B19" s="402" t="s">
        <v>481</v>
      </c>
      <c r="C19" s="403" t="s">
        <v>60</v>
      </c>
      <c r="D19" s="31" t="s">
        <v>21</v>
      </c>
      <c r="E19" s="4" t="s">
        <v>31</v>
      </c>
      <c r="F19" s="4">
        <v>28</v>
      </c>
      <c r="G19" s="5">
        <v>30</v>
      </c>
      <c r="H19" s="6" t="s">
        <v>483</v>
      </c>
      <c r="I19" s="7" t="s">
        <v>483</v>
      </c>
      <c r="J19" s="7">
        <v>3</v>
      </c>
      <c r="K19" s="7">
        <v>1</v>
      </c>
      <c r="L19" s="7">
        <v>0</v>
      </c>
      <c r="M19" s="7">
        <v>3</v>
      </c>
      <c r="N19" s="7">
        <v>2</v>
      </c>
      <c r="O19" s="7">
        <v>0</v>
      </c>
      <c r="P19" s="7" t="s">
        <v>483</v>
      </c>
      <c r="Q19" s="7" t="s">
        <v>483</v>
      </c>
      <c r="R19" s="7">
        <v>4</v>
      </c>
      <c r="S19" s="17"/>
      <c r="T19" s="404" t="s">
        <v>494</v>
      </c>
      <c r="U19" s="11" t="s">
        <v>197</v>
      </c>
      <c r="V19" s="11" t="s">
        <v>199</v>
      </c>
      <c r="W19" s="11" t="s">
        <v>206</v>
      </c>
      <c r="X19" s="405" t="s">
        <v>213</v>
      </c>
      <c r="Y19" s="11">
        <v>1</v>
      </c>
      <c r="Z19" s="11">
        <v>0</v>
      </c>
      <c r="AA19" s="11">
        <v>0</v>
      </c>
      <c r="AB19" s="13">
        <v>1</v>
      </c>
      <c r="AC19" s="11"/>
      <c r="AD19" s="11"/>
      <c r="AE19" s="11"/>
      <c r="AF19" s="13"/>
      <c r="AG19" s="11">
        <v>1</v>
      </c>
      <c r="AH19" s="11">
        <v>0</v>
      </c>
      <c r="AI19" s="11">
        <v>0</v>
      </c>
      <c r="AJ19" s="13">
        <v>1</v>
      </c>
      <c r="AK19" s="11"/>
      <c r="AL19" s="11"/>
      <c r="AM19" s="11"/>
      <c r="AN19" s="13"/>
    </row>
    <row r="20" spans="1:40" ht="17" thickBot="1" x14ac:dyDescent="0.25">
      <c r="A20" s="33"/>
      <c r="B20" s="34"/>
      <c r="C20" s="425" t="s">
        <v>40</v>
      </c>
      <c r="D20" s="426"/>
      <c r="E20" s="427"/>
      <c r="F20" s="38">
        <f t="shared" ref="F20:R20" si="0">SUM(F3+F4+F5+F6+F7+F8+F9+F10+F11+F12+F13+F14+F15+F16+F17+F18)</f>
        <v>402</v>
      </c>
      <c r="G20" s="38">
        <f t="shared" si="0"/>
        <v>360</v>
      </c>
      <c r="H20" s="38">
        <f t="shared" si="0"/>
        <v>7</v>
      </c>
      <c r="I20" s="38">
        <f t="shared" si="0"/>
        <v>4</v>
      </c>
      <c r="J20" s="38">
        <f t="shared" si="0"/>
        <v>51</v>
      </c>
      <c r="K20" s="38">
        <f t="shared" si="0"/>
        <v>27</v>
      </c>
      <c r="L20" s="38">
        <f t="shared" si="0"/>
        <v>0</v>
      </c>
      <c r="M20" s="38">
        <f t="shared" si="0"/>
        <v>31</v>
      </c>
      <c r="N20" s="38">
        <f t="shared" si="0"/>
        <v>15</v>
      </c>
      <c r="O20" s="38">
        <f t="shared" si="0"/>
        <v>2</v>
      </c>
      <c r="P20" s="38">
        <f t="shared" si="0"/>
        <v>3</v>
      </c>
      <c r="Q20" s="38">
        <f t="shared" si="0"/>
        <v>4</v>
      </c>
      <c r="R20" s="38">
        <f t="shared" si="0"/>
        <v>45</v>
      </c>
      <c r="S20" s="39"/>
      <c r="T20" s="39"/>
      <c r="U20" s="39"/>
      <c r="V20" s="39"/>
      <c r="W20" s="40"/>
      <c r="X20" s="41" t="s">
        <v>40</v>
      </c>
      <c r="Y20" s="38">
        <f>Y3+Y4+Y5+Y6+Y7+Y8+Y9+Y10+Y11+Y12+Y13+Y14+Y15+Y16+Y17+Y18</f>
        <v>16</v>
      </c>
      <c r="Z20" s="38">
        <f>Z3+Z4+Z5+Z6+Z7+Z8+Z9+Z10+Z11+Z12+Z13+Z14+Z15+Z16+Z17+Z18</f>
        <v>11</v>
      </c>
      <c r="AA20" s="38">
        <f>AA3+AA4+AA5+AA6+AA7+AA8+AA9+AA10+AA11+AA12+AA13+AA14+AA15+AA16+AA17+AA18</f>
        <v>0</v>
      </c>
      <c r="AB20" s="38">
        <f>AB3+AB4+AB5+AB6+AB7+AB8+AB9+AB10+AB11+AB12+AB13+AB14+AB15+AB16+AB17+AB18</f>
        <v>5</v>
      </c>
      <c r="AC20" s="32">
        <f>AC5+AC8+AC9+AC11+AC12+AC15+AC17+AC18</f>
        <v>8</v>
      </c>
      <c r="AD20" s="32">
        <f t="shared" ref="AD20:AF20" si="1">AD5+AD8+AD9+AD11+AD12+AD15+AD17+AD18</f>
        <v>6</v>
      </c>
      <c r="AE20" s="32">
        <f t="shared" si="1"/>
        <v>0</v>
      </c>
      <c r="AF20" s="32">
        <f t="shared" si="1"/>
        <v>2</v>
      </c>
      <c r="AG20" s="31">
        <f t="shared" ref="AG20:AN20" si="2">AG3+AG4+AG5+AG6+AG7+AG8+AG9+AG10+AG11+AG12+AG13+AG14+AG15+AG16+AG17+AG18</f>
        <v>8</v>
      </c>
      <c r="AH20" s="31">
        <f t="shared" si="2"/>
        <v>5</v>
      </c>
      <c r="AI20" s="31">
        <f t="shared" si="2"/>
        <v>0</v>
      </c>
      <c r="AJ20" s="31">
        <f t="shared" si="2"/>
        <v>4</v>
      </c>
      <c r="AK20" s="38">
        <f t="shared" si="2"/>
        <v>0</v>
      </c>
      <c r="AL20" s="38">
        <f t="shared" si="2"/>
        <v>0</v>
      </c>
      <c r="AM20" s="38">
        <f t="shared" si="2"/>
        <v>0</v>
      </c>
      <c r="AN20" s="38">
        <f t="shared" si="2"/>
        <v>0</v>
      </c>
    </row>
    <row r="21" spans="1:40" ht="17" thickBot="1" x14ac:dyDescent="0.25">
      <c r="A21" s="33"/>
      <c r="B21" s="34"/>
      <c r="C21" s="35" t="s">
        <v>41</v>
      </c>
      <c r="D21" s="36"/>
      <c r="E21" s="37"/>
      <c r="F21" s="42">
        <f>F19</f>
        <v>28</v>
      </c>
      <c r="G21" s="42">
        <f>G19</f>
        <v>30</v>
      </c>
      <c r="H21" s="42" t="s">
        <v>483</v>
      </c>
      <c r="I21" s="42" t="s">
        <v>483</v>
      </c>
      <c r="J21" s="42">
        <f>J19</f>
        <v>3</v>
      </c>
      <c r="K21" s="42">
        <f t="shared" ref="K21:O21" si="3">K19</f>
        <v>1</v>
      </c>
      <c r="L21" s="42">
        <f t="shared" si="3"/>
        <v>0</v>
      </c>
      <c r="M21" s="42">
        <f t="shared" si="3"/>
        <v>3</v>
      </c>
      <c r="N21" s="42">
        <f t="shared" si="3"/>
        <v>2</v>
      </c>
      <c r="O21" s="42">
        <f t="shared" si="3"/>
        <v>0</v>
      </c>
      <c r="P21" s="42" t="s">
        <v>483</v>
      </c>
      <c r="Q21" s="42" t="s">
        <v>483</v>
      </c>
      <c r="R21" s="42">
        <f>R19</f>
        <v>4</v>
      </c>
      <c r="S21" s="39"/>
      <c r="T21" s="39"/>
      <c r="U21" s="39"/>
      <c r="V21" s="39"/>
      <c r="W21" s="40"/>
      <c r="X21" s="41" t="s">
        <v>41</v>
      </c>
      <c r="Y21" s="38">
        <f>Y19</f>
        <v>1</v>
      </c>
      <c r="Z21" s="38">
        <f t="shared" ref="Z21:AB21" si="4">Z19</f>
        <v>0</v>
      </c>
      <c r="AA21" s="38">
        <f t="shared" si="4"/>
        <v>0</v>
      </c>
      <c r="AB21" s="38">
        <f t="shared" si="4"/>
        <v>1</v>
      </c>
      <c r="AC21" s="43">
        <f>AC19</f>
        <v>0</v>
      </c>
      <c r="AD21" s="43">
        <f t="shared" ref="AD21:AF21" si="5">AD19</f>
        <v>0</v>
      </c>
      <c r="AE21" s="43">
        <f t="shared" si="5"/>
        <v>0</v>
      </c>
      <c r="AF21" s="43">
        <f t="shared" si="5"/>
        <v>0</v>
      </c>
      <c r="AG21" s="44">
        <f>AG19</f>
        <v>1</v>
      </c>
      <c r="AH21" s="44">
        <f t="shared" ref="AH21:AJ21" si="6">AH19</f>
        <v>0</v>
      </c>
      <c r="AI21" s="44">
        <f t="shared" si="6"/>
        <v>0</v>
      </c>
      <c r="AJ21" s="44">
        <f t="shared" si="6"/>
        <v>1</v>
      </c>
      <c r="AK21" s="42">
        <f>AK19</f>
        <v>0</v>
      </c>
      <c r="AL21" s="42">
        <f t="shared" ref="AL21:AN21" si="7">AL19</f>
        <v>0</v>
      </c>
      <c r="AM21" s="42">
        <f t="shared" si="7"/>
        <v>0</v>
      </c>
      <c r="AN21" s="42">
        <f t="shared" si="7"/>
        <v>0</v>
      </c>
    </row>
    <row r="22" spans="1:40" ht="17" thickBot="1" x14ac:dyDescent="0.25">
      <c r="A22" s="33"/>
      <c r="B22" s="34"/>
      <c r="C22" s="425" t="s">
        <v>42</v>
      </c>
      <c r="D22" s="431"/>
      <c r="E22" s="432"/>
      <c r="F22" s="42">
        <f>SUM(F20+F21)</f>
        <v>430</v>
      </c>
      <c r="G22" s="42">
        <f t="shared" ref="G22:R22" si="8">SUM(G20+G21)</f>
        <v>390</v>
      </c>
      <c r="H22" s="42">
        <f>H20</f>
        <v>7</v>
      </c>
      <c r="I22" s="42">
        <f>I20</f>
        <v>4</v>
      </c>
      <c r="J22" s="42">
        <f t="shared" si="8"/>
        <v>54</v>
      </c>
      <c r="K22" s="42">
        <f t="shared" si="8"/>
        <v>28</v>
      </c>
      <c r="L22" s="42">
        <f t="shared" si="8"/>
        <v>0</v>
      </c>
      <c r="M22" s="42">
        <f t="shared" si="8"/>
        <v>34</v>
      </c>
      <c r="N22" s="42">
        <f t="shared" si="8"/>
        <v>17</v>
      </c>
      <c r="O22" s="42">
        <f t="shared" si="8"/>
        <v>2</v>
      </c>
      <c r="P22" s="42">
        <f>P20</f>
        <v>3</v>
      </c>
      <c r="Q22" s="42">
        <f>Q20</f>
        <v>4</v>
      </c>
      <c r="R22" s="42">
        <f t="shared" si="8"/>
        <v>49</v>
      </c>
      <c r="S22" s="39"/>
      <c r="T22" s="39"/>
      <c r="U22" s="39"/>
      <c r="V22" s="39"/>
      <c r="W22" s="40"/>
      <c r="X22" s="41" t="s">
        <v>42</v>
      </c>
      <c r="Y22" s="38">
        <f t="shared" ref="Y22:AN22" si="9">SUM(Y20+Y21)</f>
        <v>17</v>
      </c>
      <c r="Z22" s="42">
        <f t="shared" si="9"/>
        <v>11</v>
      </c>
      <c r="AA22" s="42">
        <f t="shared" si="9"/>
        <v>0</v>
      </c>
      <c r="AB22" s="42">
        <f t="shared" si="9"/>
        <v>6</v>
      </c>
      <c r="AC22" s="43">
        <f t="shared" si="9"/>
        <v>8</v>
      </c>
      <c r="AD22" s="43">
        <f t="shared" si="9"/>
        <v>6</v>
      </c>
      <c r="AE22" s="43">
        <f t="shared" si="9"/>
        <v>0</v>
      </c>
      <c r="AF22" s="43">
        <f t="shared" si="9"/>
        <v>2</v>
      </c>
      <c r="AG22" s="44">
        <f t="shared" si="9"/>
        <v>9</v>
      </c>
      <c r="AH22" s="44">
        <f t="shared" si="9"/>
        <v>5</v>
      </c>
      <c r="AI22" s="44">
        <f t="shared" si="9"/>
        <v>0</v>
      </c>
      <c r="AJ22" s="44">
        <f t="shared" si="9"/>
        <v>5</v>
      </c>
      <c r="AK22" s="42">
        <f t="shared" si="9"/>
        <v>0</v>
      </c>
      <c r="AL22" s="42">
        <f t="shared" si="9"/>
        <v>0</v>
      </c>
      <c r="AM22" s="42">
        <f t="shared" si="9"/>
        <v>0</v>
      </c>
      <c r="AN22" s="42">
        <f t="shared" si="9"/>
        <v>0</v>
      </c>
    </row>
    <row r="24" spans="1:40" x14ac:dyDescent="0.2">
      <c r="A24" s="178" t="s">
        <v>429</v>
      </c>
    </row>
  </sheetData>
  <mergeCells count="13">
    <mergeCell ref="AP1:AQ1"/>
    <mergeCell ref="C22:E22"/>
    <mergeCell ref="A1:D1"/>
    <mergeCell ref="E1:G1"/>
    <mergeCell ref="H1:I1"/>
    <mergeCell ref="J1:M1"/>
    <mergeCell ref="Y1:AB1"/>
    <mergeCell ref="AC1:AF1"/>
    <mergeCell ref="AG1:AJ1"/>
    <mergeCell ref="AK1:AN1"/>
    <mergeCell ref="C20:E20"/>
    <mergeCell ref="N1:O1"/>
    <mergeCell ref="P1:R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C287C-FDB1-CF45-8BDB-72DEB0D40220}">
  <dimension ref="A1:AQ26"/>
  <sheetViews>
    <sheetView zoomScale="80" zoomScaleNormal="80" workbookViewId="0">
      <selection sqref="A1:D1"/>
    </sheetView>
  </sheetViews>
  <sheetFormatPr baseColWidth="10" defaultColWidth="11.5" defaultRowHeight="16" x14ac:dyDescent="0.2"/>
  <cols>
    <col min="1" max="1" width="6.5" bestFit="1" customWidth="1"/>
    <col min="2" max="2" width="6" bestFit="1" customWidth="1"/>
    <col min="3" max="3" width="12" customWidth="1"/>
    <col min="4" max="4" width="4.83203125" customWidth="1"/>
    <col min="5" max="7" width="4.6640625" customWidth="1"/>
    <col min="8" max="18" width="4.83203125" customWidth="1"/>
    <col min="19" max="19" width="7" customWidth="1"/>
    <col min="20" max="20" width="6.83203125" customWidth="1"/>
    <col min="21" max="21" width="24" bestFit="1" customWidth="1"/>
    <col min="22" max="23" width="29" bestFit="1" customWidth="1"/>
    <col min="24" max="24" width="24" bestFit="1" customWidth="1"/>
    <col min="25" max="40" width="4.83203125" customWidth="1"/>
    <col min="42" max="42" width="14.5" bestFit="1" customWidth="1"/>
  </cols>
  <sheetData>
    <row r="1" spans="1:43" ht="17" thickBot="1" x14ac:dyDescent="0.25">
      <c r="A1" s="561" t="s">
        <v>79</v>
      </c>
      <c r="B1" s="562"/>
      <c r="C1" s="562"/>
      <c r="D1" s="563"/>
      <c r="E1" s="564" t="s">
        <v>0</v>
      </c>
      <c r="F1" s="565"/>
      <c r="G1" s="566"/>
      <c r="H1" s="564" t="s">
        <v>1</v>
      </c>
      <c r="I1" s="566"/>
      <c r="J1" s="567" t="s">
        <v>2</v>
      </c>
      <c r="K1" s="568"/>
      <c r="L1" s="568"/>
      <c r="M1" s="569"/>
      <c r="N1" s="567" t="s">
        <v>3</v>
      </c>
      <c r="O1" s="569"/>
      <c r="P1" s="567" t="s">
        <v>4</v>
      </c>
      <c r="Q1" s="568"/>
      <c r="R1" s="569"/>
      <c r="S1" s="310" t="s">
        <v>5</v>
      </c>
      <c r="T1" s="310" t="s">
        <v>6</v>
      </c>
      <c r="U1" s="311" t="s">
        <v>7</v>
      </c>
      <c r="V1" s="312" t="s">
        <v>8</v>
      </c>
      <c r="W1" s="312" t="s">
        <v>9</v>
      </c>
      <c r="X1" s="313" t="s">
        <v>10</v>
      </c>
      <c r="Y1" s="570" t="s">
        <v>11</v>
      </c>
      <c r="Z1" s="571"/>
      <c r="AA1" s="571"/>
      <c r="AB1" s="572"/>
      <c r="AC1" s="570" t="s">
        <v>12</v>
      </c>
      <c r="AD1" s="571"/>
      <c r="AE1" s="571"/>
      <c r="AF1" s="572"/>
      <c r="AG1" s="570" t="s">
        <v>13</v>
      </c>
      <c r="AH1" s="571"/>
      <c r="AI1" s="571"/>
      <c r="AJ1" s="572"/>
      <c r="AK1" s="570" t="s">
        <v>14</v>
      </c>
      <c r="AL1" s="571"/>
      <c r="AM1" s="571"/>
      <c r="AN1" s="572"/>
      <c r="AP1" s="560" t="s">
        <v>195</v>
      </c>
      <c r="AQ1" s="560"/>
    </row>
    <row r="2" spans="1:43" ht="17" thickBot="1" x14ac:dyDescent="0.25">
      <c r="A2" s="314" t="s">
        <v>15</v>
      </c>
      <c r="B2" s="315" t="s">
        <v>16</v>
      </c>
      <c r="C2" s="316" t="s">
        <v>17</v>
      </c>
      <c r="D2" s="316" t="s">
        <v>18</v>
      </c>
      <c r="E2" s="317" t="s">
        <v>19</v>
      </c>
      <c r="F2" s="317" t="s">
        <v>20</v>
      </c>
      <c r="G2" s="317" t="s">
        <v>21</v>
      </c>
      <c r="H2" s="318" t="s">
        <v>22</v>
      </c>
      <c r="I2" s="318" t="s">
        <v>23</v>
      </c>
      <c r="J2" s="318" t="s">
        <v>24</v>
      </c>
      <c r="K2" s="318" t="s">
        <v>25</v>
      </c>
      <c r="L2" s="318" t="s">
        <v>26</v>
      </c>
      <c r="M2" s="318" t="s">
        <v>27</v>
      </c>
      <c r="N2" s="318" t="s">
        <v>28</v>
      </c>
      <c r="O2" s="318" t="s">
        <v>19</v>
      </c>
      <c r="P2" s="318" t="s">
        <v>22</v>
      </c>
      <c r="Q2" s="318" t="s">
        <v>23</v>
      </c>
      <c r="R2" s="318" t="s">
        <v>24</v>
      </c>
      <c r="S2" s="319"/>
      <c r="T2" s="320"/>
      <c r="U2" s="321"/>
      <c r="V2" s="319"/>
      <c r="W2" s="322"/>
      <c r="X2" s="323"/>
      <c r="Y2" s="324" t="s">
        <v>29</v>
      </c>
      <c r="Z2" s="324" t="s">
        <v>30</v>
      </c>
      <c r="AA2" s="324" t="s">
        <v>26</v>
      </c>
      <c r="AB2" s="324" t="s">
        <v>31</v>
      </c>
      <c r="AC2" s="324" t="s">
        <v>29</v>
      </c>
      <c r="AD2" s="324" t="s">
        <v>30</v>
      </c>
      <c r="AE2" s="324" t="s">
        <v>26</v>
      </c>
      <c r="AF2" s="324" t="s">
        <v>31</v>
      </c>
      <c r="AG2" s="324" t="s">
        <v>29</v>
      </c>
      <c r="AH2" s="324" t="s">
        <v>30</v>
      </c>
      <c r="AI2" s="324" t="s">
        <v>26</v>
      </c>
      <c r="AJ2" s="324" t="s">
        <v>31</v>
      </c>
      <c r="AK2" s="324" t="s">
        <v>29</v>
      </c>
      <c r="AL2" s="324" t="s">
        <v>30</v>
      </c>
      <c r="AM2" s="324" t="s">
        <v>26</v>
      </c>
      <c r="AN2" s="325" t="s">
        <v>31</v>
      </c>
      <c r="AP2" s="333" t="s">
        <v>187</v>
      </c>
      <c r="AQ2" s="329">
        <f>Y24+86</f>
        <v>105</v>
      </c>
    </row>
    <row r="3" spans="1:43" ht="17" thickBot="1" x14ac:dyDescent="0.25">
      <c r="A3" s="66" t="s">
        <v>90</v>
      </c>
      <c r="B3" s="67" t="s">
        <v>44</v>
      </c>
      <c r="C3" s="68" t="s">
        <v>66</v>
      </c>
      <c r="D3" s="69" t="s">
        <v>47</v>
      </c>
      <c r="E3" s="69" t="s">
        <v>30</v>
      </c>
      <c r="F3" s="69">
        <v>25</v>
      </c>
      <c r="G3" s="70">
        <v>19</v>
      </c>
      <c r="H3" s="71">
        <v>0</v>
      </c>
      <c r="I3" s="72">
        <v>0</v>
      </c>
      <c r="J3" s="72">
        <v>1</v>
      </c>
      <c r="K3" s="72">
        <v>1</v>
      </c>
      <c r="L3" s="72">
        <v>0</v>
      </c>
      <c r="M3" s="72">
        <v>6</v>
      </c>
      <c r="N3" s="72">
        <v>0</v>
      </c>
      <c r="O3" s="72">
        <v>0</v>
      </c>
      <c r="P3" s="72">
        <v>0</v>
      </c>
      <c r="Q3" s="72">
        <v>1</v>
      </c>
      <c r="R3" s="72">
        <v>1</v>
      </c>
      <c r="S3" s="73"/>
      <c r="T3" s="80" t="s">
        <v>223</v>
      </c>
      <c r="U3" s="75" t="s">
        <v>205</v>
      </c>
      <c r="V3" s="76" t="s">
        <v>207</v>
      </c>
      <c r="W3" s="77" t="s">
        <v>206</v>
      </c>
      <c r="X3" s="76" t="s">
        <v>255</v>
      </c>
      <c r="Y3" s="76">
        <v>1</v>
      </c>
      <c r="Z3" s="76">
        <v>1</v>
      </c>
      <c r="AA3" s="76">
        <v>0</v>
      </c>
      <c r="AB3" s="78">
        <v>0</v>
      </c>
      <c r="AC3" s="76">
        <v>1</v>
      </c>
      <c r="AD3" s="76">
        <v>1</v>
      </c>
      <c r="AE3" s="76">
        <v>0</v>
      </c>
      <c r="AF3" s="78">
        <v>0</v>
      </c>
      <c r="AG3" s="76"/>
      <c r="AH3" s="76"/>
      <c r="AI3" s="76"/>
      <c r="AJ3" s="78"/>
      <c r="AK3" s="76"/>
      <c r="AL3" s="76"/>
      <c r="AM3" s="76"/>
      <c r="AN3" s="78"/>
      <c r="AP3" s="333" t="s">
        <v>188</v>
      </c>
      <c r="AQ3" s="329">
        <f>Z24+50</f>
        <v>63</v>
      </c>
    </row>
    <row r="4" spans="1:43" ht="17" thickBot="1" x14ac:dyDescent="0.25">
      <c r="A4" s="66" t="s">
        <v>91</v>
      </c>
      <c r="B4" s="67" t="s">
        <v>44</v>
      </c>
      <c r="C4" s="68" t="s">
        <v>52</v>
      </c>
      <c r="D4" s="69" t="s">
        <v>47</v>
      </c>
      <c r="E4" s="72" t="s">
        <v>30</v>
      </c>
      <c r="F4" s="69">
        <v>29</v>
      </c>
      <c r="G4" s="70">
        <v>18</v>
      </c>
      <c r="H4" s="71">
        <v>0</v>
      </c>
      <c r="I4" s="72">
        <v>0</v>
      </c>
      <c r="J4" s="72">
        <v>2</v>
      </c>
      <c r="K4" s="69">
        <v>2</v>
      </c>
      <c r="L4" s="72">
        <v>0</v>
      </c>
      <c r="M4" s="69">
        <v>5</v>
      </c>
      <c r="N4" s="72">
        <v>1</v>
      </c>
      <c r="O4" s="72">
        <v>0</v>
      </c>
      <c r="P4" s="72">
        <v>0</v>
      </c>
      <c r="Q4" s="69">
        <v>0</v>
      </c>
      <c r="R4" s="72">
        <v>2</v>
      </c>
      <c r="S4" s="73"/>
      <c r="T4" s="80" t="s">
        <v>253</v>
      </c>
      <c r="U4" s="75" t="s">
        <v>254</v>
      </c>
      <c r="V4" s="76" t="s">
        <v>242</v>
      </c>
      <c r="W4" s="76" t="s">
        <v>201</v>
      </c>
      <c r="X4" s="77" t="s">
        <v>255</v>
      </c>
      <c r="Y4" s="76">
        <v>1</v>
      </c>
      <c r="Z4" s="76">
        <v>1</v>
      </c>
      <c r="AA4" s="76">
        <v>0</v>
      </c>
      <c r="AB4" s="78">
        <v>0</v>
      </c>
      <c r="AC4" s="76">
        <v>1</v>
      </c>
      <c r="AD4" s="76">
        <v>1</v>
      </c>
      <c r="AE4" s="76">
        <v>0</v>
      </c>
      <c r="AF4" s="78">
        <v>0</v>
      </c>
      <c r="AG4" s="76"/>
      <c r="AH4" s="76"/>
      <c r="AI4" s="76"/>
      <c r="AJ4" s="78"/>
      <c r="AK4" s="76"/>
      <c r="AL4" s="76"/>
      <c r="AM4" s="76"/>
      <c r="AN4" s="78"/>
      <c r="AP4" s="333" t="s">
        <v>189</v>
      </c>
      <c r="AQ4" s="329">
        <f>AA24+1</f>
        <v>1</v>
      </c>
    </row>
    <row r="5" spans="1:43" ht="17" thickBot="1" x14ac:dyDescent="0.25">
      <c r="A5" s="1" t="s">
        <v>50</v>
      </c>
      <c r="B5" s="2" t="s">
        <v>44</v>
      </c>
      <c r="C5" s="3" t="s">
        <v>55</v>
      </c>
      <c r="D5" s="4" t="s">
        <v>21</v>
      </c>
      <c r="E5" s="4" t="s">
        <v>30</v>
      </c>
      <c r="F5" s="4">
        <v>23</v>
      </c>
      <c r="G5" s="5">
        <v>13</v>
      </c>
      <c r="H5" s="65">
        <v>0</v>
      </c>
      <c r="I5" s="5">
        <v>0</v>
      </c>
      <c r="J5" s="7">
        <v>3</v>
      </c>
      <c r="K5" s="7">
        <v>1</v>
      </c>
      <c r="L5" s="7">
        <v>0</v>
      </c>
      <c r="M5" s="7">
        <v>2</v>
      </c>
      <c r="N5" s="7">
        <v>0</v>
      </c>
      <c r="O5" s="7">
        <v>0</v>
      </c>
      <c r="P5" s="4">
        <v>0</v>
      </c>
      <c r="Q5" s="7">
        <v>0</v>
      </c>
      <c r="R5" s="4">
        <v>2</v>
      </c>
      <c r="S5" s="8"/>
      <c r="T5" s="15" t="s">
        <v>279</v>
      </c>
      <c r="U5" s="10" t="s">
        <v>197</v>
      </c>
      <c r="V5" s="11" t="s">
        <v>211</v>
      </c>
      <c r="W5" s="11" t="s">
        <v>208</v>
      </c>
      <c r="X5" s="12" t="s">
        <v>251</v>
      </c>
      <c r="Y5" s="11">
        <v>1</v>
      </c>
      <c r="Z5" s="11">
        <v>1</v>
      </c>
      <c r="AA5" s="11">
        <v>0</v>
      </c>
      <c r="AB5" s="13">
        <v>0</v>
      </c>
      <c r="AC5" s="11"/>
      <c r="AD5" s="11"/>
      <c r="AE5" s="11"/>
      <c r="AF5" s="13"/>
      <c r="AG5" s="11">
        <v>1</v>
      </c>
      <c r="AH5" s="11">
        <v>1</v>
      </c>
      <c r="AI5" s="11">
        <v>0</v>
      </c>
      <c r="AJ5" s="13">
        <v>0</v>
      </c>
      <c r="AK5" s="11"/>
      <c r="AL5" s="11"/>
      <c r="AM5" s="11"/>
      <c r="AN5" s="13"/>
      <c r="AP5" s="333" t="s">
        <v>190</v>
      </c>
      <c r="AQ5" s="329">
        <f>AB24+35</f>
        <v>41</v>
      </c>
    </row>
    <row r="6" spans="1:43" ht="17" thickBot="1" x14ac:dyDescent="0.25">
      <c r="A6" s="66" t="s">
        <v>33</v>
      </c>
      <c r="B6" s="67" t="s">
        <v>44</v>
      </c>
      <c r="C6" s="68" t="s">
        <v>61</v>
      </c>
      <c r="D6" s="69" t="s">
        <v>47</v>
      </c>
      <c r="E6" s="69" t="s">
        <v>31</v>
      </c>
      <c r="F6" s="69">
        <v>40</v>
      </c>
      <c r="G6" s="70">
        <v>42</v>
      </c>
      <c r="H6" s="70">
        <v>1</v>
      </c>
      <c r="I6" s="72">
        <v>1</v>
      </c>
      <c r="J6" s="69">
        <v>6</v>
      </c>
      <c r="K6" s="69">
        <v>2</v>
      </c>
      <c r="L6" s="72">
        <v>0</v>
      </c>
      <c r="M6" s="72">
        <v>3</v>
      </c>
      <c r="N6" s="72">
        <v>2</v>
      </c>
      <c r="O6" s="72">
        <v>0</v>
      </c>
      <c r="P6" s="72">
        <v>1</v>
      </c>
      <c r="Q6" s="69">
        <v>0</v>
      </c>
      <c r="R6" s="72">
        <v>5</v>
      </c>
      <c r="S6" s="73"/>
      <c r="T6" s="74" t="s">
        <v>298</v>
      </c>
      <c r="U6" s="76" t="s">
        <v>249</v>
      </c>
      <c r="V6" s="76" t="s">
        <v>214</v>
      </c>
      <c r="W6" s="76" t="s">
        <v>207</v>
      </c>
      <c r="X6" s="75" t="s">
        <v>293</v>
      </c>
      <c r="Y6" s="76">
        <v>1</v>
      </c>
      <c r="Z6" s="76">
        <v>0</v>
      </c>
      <c r="AA6" s="76">
        <v>0</v>
      </c>
      <c r="AB6" s="78">
        <v>1</v>
      </c>
      <c r="AC6" s="76">
        <v>1</v>
      </c>
      <c r="AD6" s="76">
        <v>0</v>
      </c>
      <c r="AE6" s="76">
        <v>0</v>
      </c>
      <c r="AF6" s="78">
        <v>1</v>
      </c>
      <c r="AG6" s="76"/>
      <c r="AH6" s="76"/>
      <c r="AI6" s="76"/>
      <c r="AJ6" s="78"/>
      <c r="AK6" s="76"/>
      <c r="AL6" s="76"/>
      <c r="AM6" s="76"/>
      <c r="AN6" s="78"/>
      <c r="AP6" s="333" t="s">
        <v>191</v>
      </c>
      <c r="AQ6" s="329">
        <f>F24+2423</f>
        <v>2990</v>
      </c>
    </row>
    <row r="7" spans="1:43" ht="17" thickBot="1" x14ac:dyDescent="0.25">
      <c r="A7" s="1" t="s">
        <v>34</v>
      </c>
      <c r="B7" s="2" t="s">
        <v>44</v>
      </c>
      <c r="C7" s="3" t="s">
        <v>57</v>
      </c>
      <c r="D7" s="4" t="s">
        <v>21</v>
      </c>
      <c r="E7" s="7" t="s">
        <v>30</v>
      </c>
      <c r="F7" s="4">
        <v>34</v>
      </c>
      <c r="G7" s="5">
        <v>26</v>
      </c>
      <c r="H7" s="6">
        <v>1</v>
      </c>
      <c r="I7" s="4">
        <v>0</v>
      </c>
      <c r="J7" s="7">
        <v>5</v>
      </c>
      <c r="K7" s="7">
        <v>3</v>
      </c>
      <c r="L7" s="7">
        <v>0</v>
      </c>
      <c r="M7" s="7">
        <v>1</v>
      </c>
      <c r="N7" s="7">
        <v>2</v>
      </c>
      <c r="O7" s="7">
        <v>0</v>
      </c>
      <c r="P7" s="7">
        <v>1</v>
      </c>
      <c r="Q7" s="7">
        <v>0</v>
      </c>
      <c r="R7" s="7">
        <v>4</v>
      </c>
      <c r="S7" s="8"/>
      <c r="T7" s="14" t="s">
        <v>321</v>
      </c>
      <c r="U7" s="10" t="s">
        <v>199</v>
      </c>
      <c r="V7" s="11" t="s">
        <v>276</v>
      </c>
      <c r="W7" s="11" t="s">
        <v>245</v>
      </c>
      <c r="X7" s="12" t="s">
        <v>320</v>
      </c>
      <c r="Y7" s="11">
        <v>1</v>
      </c>
      <c r="Z7" s="11">
        <v>1</v>
      </c>
      <c r="AA7" s="11">
        <v>0</v>
      </c>
      <c r="AB7" s="13">
        <v>0</v>
      </c>
      <c r="AC7" s="11"/>
      <c r="AD7" s="11"/>
      <c r="AE7" s="11"/>
      <c r="AF7" s="13"/>
      <c r="AG7" s="11">
        <v>1</v>
      </c>
      <c r="AH7" s="11">
        <v>1</v>
      </c>
      <c r="AI7" s="11">
        <v>0</v>
      </c>
      <c r="AJ7" s="13">
        <v>0</v>
      </c>
      <c r="AK7" s="11"/>
      <c r="AL7" s="11"/>
      <c r="AM7" s="11"/>
      <c r="AN7" s="13"/>
      <c r="AP7" s="333" t="s">
        <v>192</v>
      </c>
      <c r="AQ7" s="329">
        <f>G24+2135</f>
        <v>2581</v>
      </c>
    </row>
    <row r="8" spans="1:43" ht="17" thickBot="1" x14ac:dyDescent="0.25">
      <c r="A8" s="66" t="s">
        <v>54</v>
      </c>
      <c r="B8" s="67" t="s">
        <v>44</v>
      </c>
      <c r="C8" s="68" t="s">
        <v>51</v>
      </c>
      <c r="D8" s="69" t="s">
        <v>47</v>
      </c>
      <c r="E8" s="72" t="s">
        <v>30</v>
      </c>
      <c r="F8" s="69">
        <v>34</v>
      </c>
      <c r="G8" s="70">
        <v>32</v>
      </c>
      <c r="H8" s="71">
        <v>1</v>
      </c>
      <c r="I8" s="69">
        <v>0</v>
      </c>
      <c r="J8" s="72">
        <v>5</v>
      </c>
      <c r="K8" s="72">
        <v>3</v>
      </c>
      <c r="L8" s="72">
        <v>0</v>
      </c>
      <c r="M8" s="72">
        <v>1</v>
      </c>
      <c r="N8" s="72">
        <v>0</v>
      </c>
      <c r="O8" s="72">
        <v>0</v>
      </c>
      <c r="P8" s="69">
        <v>1</v>
      </c>
      <c r="Q8" s="72">
        <v>1</v>
      </c>
      <c r="R8" s="72">
        <v>5</v>
      </c>
      <c r="S8" s="73"/>
      <c r="T8" s="172" t="s">
        <v>318</v>
      </c>
      <c r="U8" s="75" t="s">
        <v>214</v>
      </c>
      <c r="V8" s="76" t="s">
        <v>211</v>
      </c>
      <c r="W8" s="76" t="s">
        <v>206</v>
      </c>
      <c r="X8" s="77" t="s">
        <v>255</v>
      </c>
      <c r="Y8" s="76">
        <v>1</v>
      </c>
      <c r="Z8" s="76">
        <v>1</v>
      </c>
      <c r="AA8" s="76">
        <v>0</v>
      </c>
      <c r="AB8" s="78">
        <v>0</v>
      </c>
      <c r="AC8" s="76">
        <v>1</v>
      </c>
      <c r="AD8" s="76">
        <v>1</v>
      </c>
      <c r="AE8" s="76">
        <v>0</v>
      </c>
      <c r="AF8" s="78">
        <v>0</v>
      </c>
      <c r="AG8" s="76"/>
      <c r="AH8" s="76"/>
      <c r="AI8" s="76"/>
      <c r="AJ8" s="78"/>
      <c r="AK8" s="76"/>
      <c r="AL8" s="76"/>
      <c r="AM8" s="76"/>
      <c r="AN8" s="78"/>
      <c r="AP8" s="333" t="s">
        <v>193</v>
      </c>
      <c r="AQ8" s="329">
        <f>J24+308</f>
        <v>381</v>
      </c>
    </row>
    <row r="9" spans="1:43" ht="17" thickBot="1" x14ac:dyDescent="0.25">
      <c r="A9" s="1" t="s">
        <v>56</v>
      </c>
      <c r="B9" s="2" t="s">
        <v>44</v>
      </c>
      <c r="C9" s="3" t="s">
        <v>63</v>
      </c>
      <c r="D9" s="4" t="s">
        <v>21</v>
      </c>
      <c r="E9" s="7" t="s">
        <v>30</v>
      </c>
      <c r="F9" s="4">
        <v>36</v>
      </c>
      <c r="G9" s="5">
        <v>5</v>
      </c>
      <c r="H9" s="6">
        <v>1</v>
      </c>
      <c r="I9" s="7">
        <v>0</v>
      </c>
      <c r="J9" s="7">
        <v>5</v>
      </c>
      <c r="K9" s="7">
        <v>3</v>
      </c>
      <c r="L9" s="7">
        <v>0</v>
      </c>
      <c r="M9" s="7">
        <v>1</v>
      </c>
      <c r="N9" s="7">
        <v>0</v>
      </c>
      <c r="O9" s="7">
        <v>0</v>
      </c>
      <c r="P9" s="7">
        <v>0</v>
      </c>
      <c r="Q9" s="7">
        <v>0</v>
      </c>
      <c r="R9" s="7">
        <v>1</v>
      </c>
      <c r="S9" s="8"/>
      <c r="T9" s="15" t="s">
        <v>343</v>
      </c>
      <c r="U9" s="10" t="s">
        <v>294</v>
      </c>
      <c r="V9" s="11" t="s">
        <v>337</v>
      </c>
      <c r="W9" s="11" t="s">
        <v>212</v>
      </c>
      <c r="X9" s="12" t="s">
        <v>216</v>
      </c>
      <c r="Y9" s="11">
        <v>1</v>
      </c>
      <c r="Z9" s="11">
        <v>1</v>
      </c>
      <c r="AA9" s="11">
        <v>0</v>
      </c>
      <c r="AB9" s="13">
        <v>0</v>
      </c>
      <c r="AC9" s="11"/>
      <c r="AD9" s="11"/>
      <c r="AE9" s="11"/>
      <c r="AF9" s="13"/>
      <c r="AG9" s="11">
        <v>1</v>
      </c>
      <c r="AH9" s="11">
        <v>1</v>
      </c>
      <c r="AI9" s="11">
        <v>0</v>
      </c>
      <c r="AJ9" s="13">
        <v>0</v>
      </c>
      <c r="AK9" s="11"/>
      <c r="AL9" s="11"/>
      <c r="AM9" s="11"/>
      <c r="AN9" s="13"/>
      <c r="AP9" s="333" t="s">
        <v>194</v>
      </c>
      <c r="AQ9" s="329">
        <f>R24+286</f>
        <v>342</v>
      </c>
    </row>
    <row r="10" spans="1:43" ht="17" thickBot="1" x14ac:dyDescent="0.25">
      <c r="A10" s="1" t="s">
        <v>35</v>
      </c>
      <c r="B10" s="2" t="s">
        <v>44</v>
      </c>
      <c r="C10" s="3" t="s">
        <v>46</v>
      </c>
      <c r="D10" s="4" t="s">
        <v>21</v>
      </c>
      <c r="E10" s="4" t="s">
        <v>30</v>
      </c>
      <c r="F10" s="4">
        <v>29</v>
      </c>
      <c r="G10" s="5">
        <v>21</v>
      </c>
      <c r="H10" s="6">
        <v>0</v>
      </c>
      <c r="I10" s="7">
        <v>0</v>
      </c>
      <c r="J10" s="7">
        <v>3</v>
      </c>
      <c r="K10" s="7">
        <v>1</v>
      </c>
      <c r="L10" s="7">
        <v>0</v>
      </c>
      <c r="M10" s="7">
        <v>4</v>
      </c>
      <c r="N10" s="4">
        <v>1</v>
      </c>
      <c r="O10" s="7">
        <v>0</v>
      </c>
      <c r="P10" s="7">
        <v>0</v>
      </c>
      <c r="Q10" s="4">
        <v>0</v>
      </c>
      <c r="R10" s="7">
        <v>3</v>
      </c>
      <c r="S10" s="8"/>
      <c r="T10" s="15" t="s">
        <v>272</v>
      </c>
      <c r="U10" s="10" t="s">
        <v>197</v>
      </c>
      <c r="V10" s="11" t="s">
        <v>297</v>
      </c>
      <c r="W10" s="11" t="s">
        <v>245</v>
      </c>
      <c r="X10" s="12" t="s">
        <v>273</v>
      </c>
      <c r="Y10" s="11">
        <v>1</v>
      </c>
      <c r="Z10" s="11">
        <v>1</v>
      </c>
      <c r="AA10" s="11">
        <v>0</v>
      </c>
      <c r="AB10" s="13">
        <v>0</v>
      </c>
      <c r="AC10" s="11"/>
      <c r="AD10" s="11"/>
      <c r="AE10" s="11"/>
      <c r="AF10" s="13"/>
      <c r="AG10" s="11">
        <v>1</v>
      </c>
      <c r="AH10" s="11">
        <v>1</v>
      </c>
      <c r="AI10" s="11">
        <v>0</v>
      </c>
      <c r="AJ10" s="13">
        <v>0</v>
      </c>
      <c r="AK10" s="11"/>
      <c r="AL10" s="11"/>
      <c r="AM10" s="11"/>
      <c r="AN10" s="13"/>
    </row>
    <row r="11" spans="1:43" ht="17" thickBot="1" x14ac:dyDescent="0.25">
      <c r="A11" s="66" t="s">
        <v>59</v>
      </c>
      <c r="B11" s="67" t="s">
        <v>44</v>
      </c>
      <c r="C11" s="68" t="s">
        <v>83</v>
      </c>
      <c r="D11" s="69" t="s">
        <v>47</v>
      </c>
      <c r="E11" s="69" t="s">
        <v>30</v>
      </c>
      <c r="F11" s="69">
        <v>29</v>
      </c>
      <c r="G11" s="70">
        <v>13</v>
      </c>
      <c r="H11" s="71">
        <v>1</v>
      </c>
      <c r="I11" s="72">
        <v>0</v>
      </c>
      <c r="J11" s="72">
        <v>4</v>
      </c>
      <c r="K11" s="72">
        <v>3</v>
      </c>
      <c r="L11" s="72">
        <v>0</v>
      </c>
      <c r="M11" s="72">
        <v>1</v>
      </c>
      <c r="N11" s="72">
        <v>0</v>
      </c>
      <c r="O11" s="72">
        <v>0</v>
      </c>
      <c r="P11" s="72">
        <v>0</v>
      </c>
      <c r="Q11" s="69">
        <v>0</v>
      </c>
      <c r="R11" s="72">
        <v>2</v>
      </c>
      <c r="S11" s="73"/>
      <c r="T11" s="80" t="s">
        <v>371</v>
      </c>
      <c r="U11" s="376" t="s">
        <v>206</v>
      </c>
      <c r="V11" s="377" t="s">
        <v>199</v>
      </c>
      <c r="W11" s="377" t="s">
        <v>201</v>
      </c>
      <c r="X11" s="378" t="s">
        <v>255</v>
      </c>
      <c r="Y11" s="76">
        <v>1</v>
      </c>
      <c r="Z11" s="76">
        <v>1</v>
      </c>
      <c r="AA11" s="76">
        <v>0</v>
      </c>
      <c r="AB11" s="78">
        <v>0</v>
      </c>
      <c r="AC11" s="76">
        <v>1</v>
      </c>
      <c r="AD11" s="76">
        <v>1</v>
      </c>
      <c r="AE11" s="76">
        <v>0</v>
      </c>
      <c r="AF11" s="78">
        <v>0</v>
      </c>
      <c r="AG11" s="76"/>
      <c r="AH11" s="76"/>
      <c r="AI11" s="76"/>
      <c r="AJ11" s="78"/>
      <c r="AK11" s="76"/>
      <c r="AL11" s="76"/>
      <c r="AM11" s="76"/>
      <c r="AN11" s="78"/>
    </row>
    <row r="12" spans="1:43" ht="17" thickBot="1" x14ac:dyDescent="0.25">
      <c r="A12" s="16" t="s">
        <v>36</v>
      </c>
      <c r="B12" s="2" t="s">
        <v>44</v>
      </c>
      <c r="C12" s="3" t="s">
        <v>49</v>
      </c>
      <c r="D12" s="4" t="s">
        <v>21</v>
      </c>
      <c r="E12" s="4" t="s">
        <v>31</v>
      </c>
      <c r="F12" s="4">
        <v>31</v>
      </c>
      <c r="G12" s="5">
        <v>32</v>
      </c>
      <c r="H12" s="6">
        <v>1</v>
      </c>
      <c r="I12" s="7">
        <v>1</v>
      </c>
      <c r="J12" s="7">
        <v>4</v>
      </c>
      <c r="K12" s="7">
        <v>4</v>
      </c>
      <c r="L12" s="7">
        <v>0</v>
      </c>
      <c r="M12" s="7">
        <v>1</v>
      </c>
      <c r="N12" s="4">
        <v>2</v>
      </c>
      <c r="O12" s="7">
        <v>0</v>
      </c>
      <c r="P12" s="7">
        <v>1</v>
      </c>
      <c r="Q12" s="7">
        <v>0</v>
      </c>
      <c r="R12" s="7">
        <v>4</v>
      </c>
      <c r="S12" s="17"/>
      <c r="T12" s="19" t="s">
        <v>396</v>
      </c>
      <c r="U12" s="10" t="s">
        <v>205</v>
      </c>
      <c r="V12" s="11" t="s">
        <v>211</v>
      </c>
      <c r="W12" s="11" t="s">
        <v>212</v>
      </c>
      <c r="X12" s="12" t="s">
        <v>388</v>
      </c>
      <c r="Y12" s="11">
        <v>1</v>
      </c>
      <c r="Z12" s="11">
        <v>0</v>
      </c>
      <c r="AA12" s="11">
        <v>0</v>
      </c>
      <c r="AB12" s="13">
        <v>1</v>
      </c>
      <c r="AC12" s="11"/>
      <c r="AD12" s="11"/>
      <c r="AE12" s="11"/>
      <c r="AF12" s="13"/>
      <c r="AG12" s="11">
        <v>1</v>
      </c>
      <c r="AH12" s="11">
        <v>0</v>
      </c>
      <c r="AI12" s="11">
        <v>0</v>
      </c>
      <c r="AJ12" s="13">
        <v>1</v>
      </c>
      <c r="AK12" s="11"/>
      <c r="AL12" s="11"/>
      <c r="AM12" s="11"/>
      <c r="AN12" s="13"/>
    </row>
    <row r="13" spans="1:43" ht="17" thickBot="1" x14ac:dyDescent="0.25">
      <c r="A13" s="16" t="s">
        <v>94</v>
      </c>
      <c r="B13" s="2" t="s">
        <v>44</v>
      </c>
      <c r="C13" s="3" t="s">
        <v>51</v>
      </c>
      <c r="D13" s="4" t="s">
        <v>21</v>
      </c>
      <c r="E13" s="4" t="s">
        <v>31</v>
      </c>
      <c r="F13" s="4">
        <v>7</v>
      </c>
      <c r="G13" s="5">
        <v>14</v>
      </c>
      <c r="H13" s="6">
        <v>0</v>
      </c>
      <c r="I13" s="7">
        <v>1</v>
      </c>
      <c r="J13" s="7">
        <v>1</v>
      </c>
      <c r="K13" s="7">
        <v>1</v>
      </c>
      <c r="L13" s="7">
        <v>0</v>
      </c>
      <c r="M13" s="7">
        <v>0</v>
      </c>
      <c r="N13" s="7">
        <v>1</v>
      </c>
      <c r="O13" s="7">
        <v>0</v>
      </c>
      <c r="P13" s="7">
        <v>0</v>
      </c>
      <c r="Q13" s="7">
        <v>0</v>
      </c>
      <c r="R13" s="7">
        <v>2</v>
      </c>
      <c r="S13" s="17"/>
      <c r="T13" s="9" t="s">
        <v>364</v>
      </c>
      <c r="U13" s="10" t="s">
        <v>389</v>
      </c>
      <c r="V13" s="11" t="s">
        <v>199</v>
      </c>
      <c r="W13" s="11" t="s">
        <v>212</v>
      </c>
      <c r="X13" s="12" t="s">
        <v>407</v>
      </c>
      <c r="Y13" s="11">
        <v>1</v>
      </c>
      <c r="Z13" s="11">
        <v>0</v>
      </c>
      <c r="AA13" s="11">
        <v>0</v>
      </c>
      <c r="AB13" s="13">
        <v>1</v>
      </c>
      <c r="AC13" s="11"/>
      <c r="AD13" s="11"/>
      <c r="AE13" s="11"/>
      <c r="AF13" s="13"/>
      <c r="AG13" s="11">
        <v>1</v>
      </c>
      <c r="AH13" s="11">
        <v>0</v>
      </c>
      <c r="AI13" s="11">
        <v>0</v>
      </c>
      <c r="AJ13" s="13">
        <v>1</v>
      </c>
      <c r="AK13" s="11"/>
      <c r="AL13" s="11"/>
      <c r="AM13" s="11"/>
      <c r="AN13" s="13"/>
    </row>
    <row r="14" spans="1:43" ht="17" thickBot="1" x14ac:dyDescent="0.25">
      <c r="A14" s="81" t="s">
        <v>99</v>
      </c>
      <c r="B14" s="67" t="s">
        <v>44</v>
      </c>
      <c r="C14" s="68" t="s">
        <v>53</v>
      </c>
      <c r="D14" s="69" t="s">
        <v>47</v>
      </c>
      <c r="E14" s="69" t="s">
        <v>30</v>
      </c>
      <c r="F14" s="69">
        <v>26</v>
      </c>
      <c r="G14" s="70">
        <v>24</v>
      </c>
      <c r="H14" s="71">
        <v>0</v>
      </c>
      <c r="I14" s="72">
        <v>0</v>
      </c>
      <c r="J14" s="72">
        <v>3</v>
      </c>
      <c r="K14" s="72">
        <v>1</v>
      </c>
      <c r="L14" s="72">
        <v>0</v>
      </c>
      <c r="M14" s="72">
        <v>3</v>
      </c>
      <c r="N14" s="72">
        <v>2</v>
      </c>
      <c r="O14" s="72">
        <v>0</v>
      </c>
      <c r="P14" s="72">
        <v>0</v>
      </c>
      <c r="Q14" s="72">
        <v>1</v>
      </c>
      <c r="R14" s="72">
        <v>2</v>
      </c>
      <c r="S14" s="82"/>
      <c r="T14" s="80" t="s">
        <v>409</v>
      </c>
      <c r="U14" s="75" t="s">
        <v>410</v>
      </c>
      <c r="V14" s="76" t="s">
        <v>199</v>
      </c>
      <c r="W14" s="76" t="s">
        <v>212</v>
      </c>
      <c r="X14" s="77" t="s">
        <v>293</v>
      </c>
      <c r="Y14" s="76">
        <v>1</v>
      </c>
      <c r="Z14" s="76">
        <v>1</v>
      </c>
      <c r="AA14" s="76">
        <v>0</v>
      </c>
      <c r="AB14" s="78">
        <v>0</v>
      </c>
      <c r="AC14" s="76">
        <v>1</v>
      </c>
      <c r="AD14" s="76">
        <v>1</v>
      </c>
      <c r="AE14" s="76">
        <v>0</v>
      </c>
      <c r="AF14" s="78">
        <v>0</v>
      </c>
      <c r="AG14" s="76"/>
      <c r="AH14" s="76"/>
      <c r="AI14" s="76"/>
      <c r="AJ14" s="78"/>
      <c r="AK14" s="76"/>
      <c r="AL14" s="76"/>
      <c r="AM14" s="76"/>
      <c r="AN14" s="78"/>
    </row>
    <row r="15" spans="1:43" ht="17" thickBot="1" x14ac:dyDescent="0.25">
      <c r="A15" s="81" t="s">
        <v>87</v>
      </c>
      <c r="B15" s="67" t="s">
        <v>44</v>
      </c>
      <c r="C15" s="68" t="s">
        <v>55</v>
      </c>
      <c r="D15" s="69" t="s">
        <v>47</v>
      </c>
      <c r="E15" s="69" t="s">
        <v>30</v>
      </c>
      <c r="F15" s="69">
        <v>68</v>
      </c>
      <c r="G15" s="70">
        <v>29</v>
      </c>
      <c r="H15" s="71">
        <v>1</v>
      </c>
      <c r="I15" s="72">
        <v>0</v>
      </c>
      <c r="J15" s="72">
        <v>10</v>
      </c>
      <c r="K15" s="72">
        <v>7</v>
      </c>
      <c r="L15" s="72">
        <v>0</v>
      </c>
      <c r="M15" s="72">
        <v>0</v>
      </c>
      <c r="N15" s="72">
        <v>1</v>
      </c>
      <c r="O15" s="72">
        <v>0</v>
      </c>
      <c r="P15" s="72">
        <v>1</v>
      </c>
      <c r="Q15" s="72">
        <v>0</v>
      </c>
      <c r="R15" s="72">
        <v>4</v>
      </c>
      <c r="S15" s="82"/>
      <c r="T15" s="80" t="s">
        <v>440</v>
      </c>
      <c r="U15" s="75" t="s">
        <v>430</v>
      </c>
      <c r="V15" s="76" t="s">
        <v>207</v>
      </c>
      <c r="W15" s="76" t="s">
        <v>215</v>
      </c>
      <c r="X15" s="77" t="s">
        <v>216</v>
      </c>
      <c r="Y15" s="76">
        <v>1</v>
      </c>
      <c r="Z15" s="76">
        <v>1</v>
      </c>
      <c r="AA15" s="76">
        <v>0</v>
      </c>
      <c r="AB15" s="78">
        <v>0</v>
      </c>
      <c r="AC15" s="76">
        <v>1</v>
      </c>
      <c r="AD15" s="76">
        <v>1</v>
      </c>
      <c r="AE15" s="76">
        <v>0</v>
      </c>
      <c r="AF15" s="78">
        <v>0</v>
      </c>
      <c r="AG15" s="76"/>
      <c r="AH15" s="76"/>
      <c r="AI15" s="76"/>
      <c r="AJ15" s="78"/>
      <c r="AK15" s="76"/>
      <c r="AL15" s="76"/>
      <c r="AM15" s="76"/>
      <c r="AN15" s="78"/>
    </row>
    <row r="16" spans="1:43" ht="17" thickBot="1" x14ac:dyDescent="0.25">
      <c r="A16" s="16" t="s">
        <v>88</v>
      </c>
      <c r="B16" s="2" t="s">
        <v>44</v>
      </c>
      <c r="C16" s="3" t="s">
        <v>61</v>
      </c>
      <c r="D16" s="4" t="s">
        <v>21</v>
      </c>
      <c r="E16" s="4" t="s">
        <v>31</v>
      </c>
      <c r="F16" s="4">
        <v>25</v>
      </c>
      <c r="G16" s="5">
        <v>28</v>
      </c>
      <c r="H16" s="6">
        <v>0</v>
      </c>
      <c r="I16" s="7">
        <v>1</v>
      </c>
      <c r="J16" s="7">
        <v>3</v>
      </c>
      <c r="K16" s="7">
        <v>2</v>
      </c>
      <c r="L16" s="7">
        <v>0</v>
      </c>
      <c r="M16" s="7">
        <v>2</v>
      </c>
      <c r="N16" s="7">
        <v>1</v>
      </c>
      <c r="O16" s="7">
        <v>0</v>
      </c>
      <c r="P16" s="7">
        <v>1</v>
      </c>
      <c r="Q16" s="7">
        <v>0</v>
      </c>
      <c r="R16" s="7">
        <v>4</v>
      </c>
      <c r="S16" s="17"/>
      <c r="T16" s="9" t="s">
        <v>445</v>
      </c>
      <c r="U16" s="10" t="s">
        <v>258</v>
      </c>
      <c r="V16" s="11" t="s">
        <v>207</v>
      </c>
      <c r="W16" s="11" t="s">
        <v>208</v>
      </c>
      <c r="X16" s="11" t="s">
        <v>275</v>
      </c>
      <c r="Y16" s="11">
        <v>1</v>
      </c>
      <c r="Z16" s="11">
        <v>0</v>
      </c>
      <c r="AA16" s="11">
        <v>0</v>
      </c>
      <c r="AB16" s="13">
        <v>1</v>
      </c>
      <c r="AC16" s="11"/>
      <c r="AD16" s="11"/>
      <c r="AE16" s="11"/>
      <c r="AF16" s="13"/>
      <c r="AG16" s="11">
        <v>1</v>
      </c>
      <c r="AH16" s="11">
        <v>0</v>
      </c>
      <c r="AI16" s="11">
        <v>0</v>
      </c>
      <c r="AJ16" s="13">
        <v>1</v>
      </c>
      <c r="AK16" s="11"/>
      <c r="AL16" s="11"/>
      <c r="AM16" s="11"/>
      <c r="AN16" s="13"/>
    </row>
    <row r="17" spans="1:40" ht="17" thickBot="1" x14ac:dyDescent="0.25">
      <c r="A17" s="81" t="s">
        <v>68</v>
      </c>
      <c r="B17" s="67" t="s">
        <v>44</v>
      </c>
      <c r="C17" s="68" t="s">
        <v>63</v>
      </c>
      <c r="D17" s="69" t="s">
        <v>47</v>
      </c>
      <c r="E17" s="69" t="s">
        <v>30</v>
      </c>
      <c r="F17" s="69">
        <v>29</v>
      </c>
      <c r="G17" s="70">
        <v>12</v>
      </c>
      <c r="H17" s="71">
        <v>1</v>
      </c>
      <c r="I17" s="72">
        <v>0</v>
      </c>
      <c r="J17" s="72">
        <v>4</v>
      </c>
      <c r="K17" s="72">
        <v>2</v>
      </c>
      <c r="L17" s="72">
        <v>0</v>
      </c>
      <c r="M17" s="72">
        <v>1</v>
      </c>
      <c r="N17" s="69">
        <v>0</v>
      </c>
      <c r="O17" s="72">
        <v>0</v>
      </c>
      <c r="P17" s="72">
        <v>0</v>
      </c>
      <c r="Q17" s="72">
        <v>0</v>
      </c>
      <c r="R17" s="72">
        <v>2</v>
      </c>
      <c r="S17" s="73"/>
      <c r="T17" s="80" t="s">
        <v>461</v>
      </c>
      <c r="U17" s="76" t="s">
        <v>201</v>
      </c>
      <c r="V17" s="76" t="s">
        <v>207</v>
      </c>
      <c r="W17" s="76" t="s">
        <v>206</v>
      </c>
      <c r="X17" s="76" t="s">
        <v>455</v>
      </c>
      <c r="Y17" s="76">
        <v>1</v>
      </c>
      <c r="Z17" s="76">
        <v>1</v>
      </c>
      <c r="AA17" s="76">
        <v>0</v>
      </c>
      <c r="AB17" s="78">
        <v>0</v>
      </c>
      <c r="AC17" s="76">
        <v>1</v>
      </c>
      <c r="AD17" s="76">
        <v>1</v>
      </c>
      <c r="AE17" s="76">
        <v>0</v>
      </c>
      <c r="AF17" s="78">
        <v>0</v>
      </c>
      <c r="AG17" s="76"/>
      <c r="AH17" s="76"/>
      <c r="AI17" s="76"/>
      <c r="AJ17" s="78"/>
      <c r="AK17" s="76"/>
      <c r="AL17" s="76"/>
      <c r="AM17" s="76"/>
      <c r="AN17" s="78"/>
    </row>
    <row r="18" spans="1:40" ht="17" thickBot="1" x14ac:dyDescent="0.25">
      <c r="A18" s="16" t="s">
        <v>89</v>
      </c>
      <c r="B18" s="2" t="s">
        <v>44</v>
      </c>
      <c r="C18" s="20" t="s">
        <v>66</v>
      </c>
      <c r="D18" s="21" t="s">
        <v>21</v>
      </c>
      <c r="E18" s="21" t="s">
        <v>31</v>
      </c>
      <c r="F18" s="22">
        <v>33</v>
      </c>
      <c r="G18" s="23">
        <v>45</v>
      </c>
      <c r="H18" s="24">
        <v>1</v>
      </c>
      <c r="I18" s="25">
        <v>0</v>
      </c>
      <c r="J18" s="25">
        <v>5</v>
      </c>
      <c r="K18" s="25">
        <v>4</v>
      </c>
      <c r="L18" s="25">
        <v>0</v>
      </c>
      <c r="M18" s="25">
        <v>0</v>
      </c>
      <c r="N18" s="25">
        <v>0</v>
      </c>
      <c r="O18" s="25">
        <v>0</v>
      </c>
      <c r="P18" s="25">
        <v>1</v>
      </c>
      <c r="Q18" s="25">
        <v>0</v>
      </c>
      <c r="R18" s="25">
        <v>6</v>
      </c>
      <c r="S18" s="26"/>
      <c r="T18" s="19" t="s">
        <v>476</v>
      </c>
      <c r="U18" s="28" t="s">
        <v>468</v>
      </c>
      <c r="V18" s="28" t="s">
        <v>207</v>
      </c>
      <c r="W18" s="28" t="s">
        <v>212</v>
      </c>
      <c r="X18" s="29" t="s">
        <v>262</v>
      </c>
      <c r="Y18" s="28">
        <v>1</v>
      </c>
      <c r="Z18" s="28">
        <v>0</v>
      </c>
      <c r="AA18" s="28">
        <v>0</v>
      </c>
      <c r="AB18" s="30">
        <v>1</v>
      </c>
      <c r="AC18" s="28"/>
      <c r="AD18" s="28"/>
      <c r="AE18" s="28"/>
      <c r="AF18" s="30"/>
      <c r="AG18" s="28">
        <v>1</v>
      </c>
      <c r="AH18" s="28">
        <v>0</v>
      </c>
      <c r="AI18" s="28">
        <v>0</v>
      </c>
      <c r="AJ18" s="30">
        <v>1</v>
      </c>
      <c r="AK18" s="28"/>
      <c r="AL18" s="28"/>
      <c r="AM18" s="28"/>
      <c r="AN18" s="30"/>
    </row>
    <row r="19" spans="1:40" ht="17" thickBot="1" x14ac:dyDescent="0.25">
      <c r="A19" s="398" t="s">
        <v>477</v>
      </c>
      <c r="B19" s="398" t="s">
        <v>481</v>
      </c>
      <c r="C19" s="399" t="s">
        <v>66</v>
      </c>
      <c r="D19" s="32" t="s">
        <v>47</v>
      </c>
      <c r="E19" s="69" t="s">
        <v>30</v>
      </c>
      <c r="F19" s="69">
        <v>30</v>
      </c>
      <c r="G19" s="70">
        <v>28</v>
      </c>
      <c r="H19" s="71" t="s">
        <v>483</v>
      </c>
      <c r="I19" s="72" t="s">
        <v>483</v>
      </c>
      <c r="J19" s="72">
        <v>4</v>
      </c>
      <c r="K19" s="72">
        <v>1</v>
      </c>
      <c r="L19" s="72">
        <v>0</v>
      </c>
      <c r="M19" s="72">
        <v>2</v>
      </c>
      <c r="N19" s="72">
        <v>2</v>
      </c>
      <c r="O19" s="72">
        <v>0</v>
      </c>
      <c r="P19" s="72" t="s">
        <v>483</v>
      </c>
      <c r="Q19" s="72" t="s">
        <v>483</v>
      </c>
      <c r="R19" s="72">
        <v>3</v>
      </c>
      <c r="S19" s="82"/>
      <c r="T19" s="406" t="s">
        <v>492</v>
      </c>
      <c r="U19" s="76" t="s">
        <v>197</v>
      </c>
      <c r="V19" s="76" t="s">
        <v>199</v>
      </c>
      <c r="W19" s="76" t="s">
        <v>206</v>
      </c>
      <c r="X19" s="401" t="s">
        <v>213</v>
      </c>
      <c r="Y19" s="76">
        <v>1</v>
      </c>
      <c r="Z19" s="76">
        <v>1</v>
      </c>
      <c r="AA19" s="76">
        <v>0</v>
      </c>
      <c r="AB19" s="78">
        <v>0</v>
      </c>
      <c r="AC19" s="76">
        <v>1</v>
      </c>
      <c r="AD19" s="76">
        <v>1</v>
      </c>
      <c r="AE19" s="76">
        <v>0</v>
      </c>
      <c r="AF19" s="78">
        <v>0</v>
      </c>
      <c r="AG19" s="76"/>
      <c r="AH19" s="76"/>
      <c r="AI19" s="76"/>
      <c r="AJ19" s="78"/>
      <c r="AK19" s="76"/>
      <c r="AL19" s="76"/>
      <c r="AM19" s="76"/>
      <c r="AN19" s="78"/>
    </row>
    <row r="20" spans="1:40" ht="17" thickBot="1" x14ac:dyDescent="0.25">
      <c r="A20" s="398" t="s">
        <v>493</v>
      </c>
      <c r="B20" s="398" t="s">
        <v>482</v>
      </c>
      <c r="C20" s="399" t="s">
        <v>51</v>
      </c>
      <c r="D20" s="32" t="s">
        <v>47</v>
      </c>
      <c r="E20" s="69" t="s">
        <v>30</v>
      </c>
      <c r="F20" s="69">
        <v>28</v>
      </c>
      <c r="G20" s="70">
        <v>25</v>
      </c>
      <c r="H20" s="71" t="s">
        <v>483</v>
      </c>
      <c r="I20" s="72" t="s">
        <v>483</v>
      </c>
      <c r="J20" s="72">
        <v>4</v>
      </c>
      <c r="K20" s="72">
        <v>2</v>
      </c>
      <c r="L20" s="72">
        <v>0</v>
      </c>
      <c r="M20" s="72">
        <v>0</v>
      </c>
      <c r="N20" s="72">
        <v>1</v>
      </c>
      <c r="O20" s="72">
        <v>0</v>
      </c>
      <c r="P20" s="72" t="s">
        <v>483</v>
      </c>
      <c r="Q20" s="72" t="s">
        <v>483</v>
      </c>
      <c r="R20" s="72">
        <v>3</v>
      </c>
      <c r="S20" s="82"/>
      <c r="T20" s="422" t="s">
        <v>509</v>
      </c>
      <c r="U20" s="76" t="s">
        <v>214</v>
      </c>
      <c r="V20" s="76" t="s">
        <v>337</v>
      </c>
      <c r="W20" s="76" t="s">
        <v>206</v>
      </c>
      <c r="X20" s="401" t="s">
        <v>208</v>
      </c>
      <c r="Y20" s="76">
        <v>1</v>
      </c>
      <c r="Z20" s="76">
        <v>1</v>
      </c>
      <c r="AA20" s="76">
        <v>0</v>
      </c>
      <c r="AB20" s="78">
        <v>0</v>
      </c>
      <c r="AC20" s="76">
        <v>1</v>
      </c>
      <c r="AD20" s="76">
        <v>1</v>
      </c>
      <c r="AE20" s="76">
        <v>0</v>
      </c>
      <c r="AF20" s="78">
        <v>0</v>
      </c>
      <c r="AG20" s="76"/>
      <c r="AH20" s="76"/>
      <c r="AI20" s="76"/>
      <c r="AJ20" s="78"/>
      <c r="AK20" s="76"/>
      <c r="AL20" s="76"/>
      <c r="AM20" s="76"/>
      <c r="AN20" s="78"/>
    </row>
    <row r="21" spans="1:40" ht="17" thickBot="1" x14ac:dyDescent="0.25">
      <c r="A21" s="410" t="s">
        <v>506</v>
      </c>
      <c r="B21" s="410" t="s">
        <v>43</v>
      </c>
      <c r="C21" s="411" t="s">
        <v>46</v>
      </c>
      <c r="D21" s="412" t="s">
        <v>505</v>
      </c>
      <c r="E21" s="413" t="s">
        <v>31</v>
      </c>
      <c r="F21" s="413">
        <v>11</v>
      </c>
      <c r="G21" s="414">
        <v>20</v>
      </c>
      <c r="H21" s="415" t="s">
        <v>483</v>
      </c>
      <c r="I21" s="416" t="s">
        <v>483</v>
      </c>
      <c r="J21" s="416">
        <v>1</v>
      </c>
      <c r="K21" s="416">
        <v>0</v>
      </c>
      <c r="L21" s="416">
        <v>0</v>
      </c>
      <c r="M21" s="416">
        <v>2</v>
      </c>
      <c r="N21" s="416">
        <v>1</v>
      </c>
      <c r="O21" s="416">
        <v>0</v>
      </c>
      <c r="P21" s="416" t="s">
        <v>483</v>
      </c>
      <c r="Q21" s="416" t="s">
        <v>483</v>
      </c>
      <c r="R21" s="416">
        <v>1</v>
      </c>
      <c r="S21" s="417"/>
      <c r="T21" s="418" t="s">
        <v>512</v>
      </c>
      <c r="U21" s="419" t="s">
        <v>197</v>
      </c>
      <c r="V21" s="419" t="s">
        <v>337</v>
      </c>
      <c r="W21" s="419" t="s">
        <v>205</v>
      </c>
      <c r="X21" s="420" t="s">
        <v>245</v>
      </c>
      <c r="Y21" s="419">
        <v>1</v>
      </c>
      <c r="Z21" s="419">
        <v>0</v>
      </c>
      <c r="AA21" s="419">
        <v>0</v>
      </c>
      <c r="AB21" s="421">
        <v>1</v>
      </c>
      <c r="AC21" s="419"/>
      <c r="AD21" s="419"/>
      <c r="AE21" s="419"/>
      <c r="AF21" s="421"/>
      <c r="AG21" s="419"/>
      <c r="AH21" s="419"/>
      <c r="AI21" s="419"/>
      <c r="AJ21" s="421"/>
      <c r="AK21" s="419">
        <v>1</v>
      </c>
      <c r="AL21" s="419">
        <v>0</v>
      </c>
      <c r="AM21" s="419">
        <v>0</v>
      </c>
      <c r="AN21" s="421">
        <v>1</v>
      </c>
    </row>
    <row r="22" spans="1:40" ht="17" thickBot="1" x14ac:dyDescent="0.25">
      <c r="A22" s="33"/>
      <c r="B22" s="34"/>
      <c r="C22" s="425" t="s">
        <v>40</v>
      </c>
      <c r="D22" s="426"/>
      <c r="E22" s="427"/>
      <c r="F22" s="38">
        <f>SUM(F3+F4+F5+F6+F7+F8+F9+F10+F11+F12+F13+F14+F15+F16+F17+F18)</f>
        <v>498</v>
      </c>
      <c r="G22" s="38">
        <f t="shared" ref="G22:R22" si="0">SUM(G3+G4+G5+G6+G7+G8+G9+G10+G11+G12+G13+G14+G15+G16+G17+G18)</f>
        <v>373</v>
      </c>
      <c r="H22" s="38">
        <f t="shared" si="0"/>
        <v>9</v>
      </c>
      <c r="I22" s="38">
        <f t="shared" si="0"/>
        <v>4</v>
      </c>
      <c r="J22" s="38">
        <f t="shared" si="0"/>
        <v>64</v>
      </c>
      <c r="K22" s="38">
        <f t="shared" si="0"/>
        <v>40</v>
      </c>
      <c r="L22" s="38">
        <f t="shared" si="0"/>
        <v>0</v>
      </c>
      <c r="M22" s="38">
        <f t="shared" si="0"/>
        <v>31</v>
      </c>
      <c r="N22" s="38">
        <f t="shared" si="0"/>
        <v>13</v>
      </c>
      <c r="O22" s="38">
        <f t="shared" si="0"/>
        <v>0</v>
      </c>
      <c r="P22" s="38">
        <f t="shared" si="0"/>
        <v>7</v>
      </c>
      <c r="Q22" s="38">
        <f t="shared" si="0"/>
        <v>3</v>
      </c>
      <c r="R22" s="38">
        <f t="shared" si="0"/>
        <v>49</v>
      </c>
      <c r="S22" s="39"/>
      <c r="T22" s="39"/>
      <c r="U22" s="39"/>
      <c r="V22" s="39"/>
      <c r="W22" s="40"/>
      <c r="X22" s="41" t="s">
        <v>40</v>
      </c>
      <c r="Y22" s="38">
        <f>Y3+Y4+Y5+Y6+Y7+Y8+Y9+Y10+Y11+Y12+Y13+Y14+Y15+Y16+Y17+Y18</f>
        <v>16</v>
      </c>
      <c r="Z22" s="38">
        <f t="shared" ref="Z22:AN22" si="1">Z3+Z4+Z5+Z6+Z7+Z8+Z9+Z10+Z11+Z12+Z13+Z14+Z15+Z16+Z17+Z18</f>
        <v>11</v>
      </c>
      <c r="AA22" s="38">
        <f t="shared" si="1"/>
        <v>0</v>
      </c>
      <c r="AB22" s="38">
        <f t="shared" si="1"/>
        <v>5</v>
      </c>
      <c r="AC22" s="32">
        <f t="shared" si="1"/>
        <v>8</v>
      </c>
      <c r="AD22" s="32">
        <f t="shared" si="1"/>
        <v>7</v>
      </c>
      <c r="AE22" s="32">
        <f t="shared" si="1"/>
        <v>0</v>
      </c>
      <c r="AF22" s="32">
        <f t="shared" si="1"/>
        <v>1</v>
      </c>
      <c r="AG22" s="31">
        <f t="shared" si="1"/>
        <v>8</v>
      </c>
      <c r="AH22" s="31">
        <f t="shared" si="1"/>
        <v>4</v>
      </c>
      <c r="AI22" s="31">
        <f t="shared" si="1"/>
        <v>0</v>
      </c>
      <c r="AJ22" s="31">
        <f t="shared" si="1"/>
        <v>4</v>
      </c>
      <c r="AK22" s="38">
        <f t="shared" si="1"/>
        <v>0</v>
      </c>
      <c r="AL22" s="38">
        <f t="shared" si="1"/>
        <v>0</v>
      </c>
      <c r="AM22" s="38">
        <f t="shared" si="1"/>
        <v>0</v>
      </c>
      <c r="AN22" s="38">
        <f t="shared" si="1"/>
        <v>0</v>
      </c>
    </row>
    <row r="23" spans="1:40" ht="17" thickBot="1" x14ac:dyDescent="0.25">
      <c r="A23" s="33"/>
      <c r="B23" s="34"/>
      <c r="C23" s="35" t="s">
        <v>41</v>
      </c>
      <c r="D23" s="36"/>
      <c r="E23" s="37"/>
      <c r="F23" s="42">
        <f>F19+F20+F21</f>
        <v>69</v>
      </c>
      <c r="G23" s="42">
        <f>G19+G20+G21</f>
        <v>73</v>
      </c>
      <c r="H23" s="42" t="s">
        <v>483</v>
      </c>
      <c r="I23" s="42" t="s">
        <v>483</v>
      </c>
      <c r="J23" s="42">
        <f t="shared" ref="J23:O23" si="2">J19+J20+J21</f>
        <v>9</v>
      </c>
      <c r="K23" s="42">
        <f t="shared" si="2"/>
        <v>3</v>
      </c>
      <c r="L23" s="42">
        <f t="shared" si="2"/>
        <v>0</v>
      </c>
      <c r="M23" s="42">
        <f t="shared" si="2"/>
        <v>4</v>
      </c>
      <c r="N23" s="42">
        <f t="shared" si="2"/>
        <v>4</v>
      </c>
      <c r="O23" s="42">
        <f t="shared" si="2"/>
        <v>0</v>
      </c>
      <c r="P23" s="42" t="s">
        <v>483</v>
      </c>
      <c r="Q23" s="42" t="s">
        <v>483</v>
      </c>
      <c r="R23" s="42">
        <f>R19+R20+R21</f>
        <v>7</v>
      </c>
      <c r="S23" s="39"/>
      <c r="T23" s="39"/>
      <c r="U23" s="39"/>
      <c r="V23" s="39"/>
      <c r="W23" s="40"/>
      <c r="X23" s="41" t="s">
        <v>41</v>
      </c>
      <c r="Y23" s="38">
        <f t="shared" ref="Y23:AN23" si="3">Y19+Y20+Y21</f>
        <v>3</v>
      </c>
      <c r="Z23" s="42">
        <f t="shared" si="3"/>
        <v>2</v>
      </c>
      <c r="AA23" s="42">
        <f t="shared" si="3"/>
        <v>0</v>
      </c>
      <c r="AB23" s="42">
        <f t="shared" si="3"/>
        <v>1</v>
      </c>
      <c r="AC23" s="43">
        <f t="shared" si="3"/>
        <v>2</v>
      </c>
      <c r="AD23" s="43">
        <f t="shared" si="3"/>
        <v>2</v>
      </c>
      <c r="AE23" s="43">
        <f t="shared" si="3"/>
        <v>0</v>
      </c>
      <c r="AF23" s="43">
        <f t="shared" si="3"/>
        <v>0</v>
      </c>
      <c r="AG23" s="44">
        <f t="shared" si="3"/>
        <v>0</v>
      </c>
      <c r="AH23" s="44">
        <f t="shared" si="3"/>
        <v>0</v>
      </c>
      <c r="AI23" s="44">
        <f t="shared" si="3"/>
        <v>0</v>
      </c>
      <c r="AJ23" s="44">
        <f t="shared" si="3"/>
        <v>0</v>
      </c>
      <c r="AK23" s="42">
        <f t="shared" si="3"/>
        <v>1</v>
      </c>
      <c r="AL23" s="42">
        <f t="shared" si="3"/>
        <v>0</v>
      </c>
      <c r="AM23" s="42">
        <f t="shared" si="3"/>
        <v>0</v>
      </c>
      <c r="AN23" s="42">
        <f t="shared" si="3"/>
        <v>1</v>
      </c>
    </row>
    <row r="24" spans="1:40" ht="17" thickBot="1" x14ac:dyDescent="0.25">
      <c r="A24" s="33"/>
      <c r="B24" s="34"/>
      <c r="C24" s="425" t="s">
        <v>42</v>
      </c>
      <c r="D24" s="431"/>
      <c r="E24" s="432"/>
      <c r="F24" s="42">
        <f>SUM(F22+F23)</f>
        <v>567</v>
      </c>
      <c r="G24" s="42">
        <f t="shared" ref="G24:R24" si="4">SUM(G22+G23)</f>
        <v>446</v>
      </c>
      <c r="H24" s="42">
        <f>H22</f>
        <v>9</v>
      </c>
      <c r="I24" s="42">
        <f>I22</f>
        <v>4</v>
      </c>
      <c r="J24" s="42">
        <f t="shared" si="4"/>
        <v>73</v>
      </c>
      <c r="K24" s="42">
        <f t="shared" si="4"/>
        <v>43</v>
      </c>
      <c r="L24" s="42">
        <f t="shared" si="4"/>
        <v>0</v>
      </c>
      <c r="M24" s="42">
        <f t="shared" si="4"/>
        <v>35</v>
      </c>
      <c r="N24" s="42">
        <f t="shared" si="4"/>
        <v>17</v>
      </c>
      <c r="O24" s="42">
        <f t="shared" si="4"/>
        <v>0</v>
      </c>
      <c r="P24" s="42">
        <f>P22</f>
        <v>7</v>
      </c>
      <c r="Q24" s="42">
        <f>Q22</f>
        <v>3</v>
      </c>
      <c r="R24" s="42">
        <f t="shared" si="4"/>
        <v>56</v>
      </c>
      <c r="S24" s="39"/>
      <c r="T24" s="39"/>
      <c r="U24" s="39"/>
      <c r="V24" s="39"/>
      <c r="W24" s="40"/>
      <c r="X24" s="41" t="s">
        <v>42</v>
      </c>
      <c r="Y24" s="38">
        <f t="shared" ref="Y24:AN24" si="5">SUM(Y22+Y23)</f>
        <v>19</v>
      </c>
      <c r="Z24" s="42">
        <f t="shared" si="5"/>
        <v>13</v>
      </c>
      <c r="AA24" s="42">
        <f t="shared" si="5"/>
        <v>0</v>
      </c>
      <c r="AB24" s="42">
        <f t="shared" si="5"/>
        <v>6</v>
      </c>
      <c r="AC24" s="43">
        <f t="shared" si="5"/>
        <v>10</v>
      </c>
      <c r="AD24" s="43">
        <f t="shared" si="5"/>
        <v>9</v>
      </c>
      <c r="AE24" s="43">
        <f t="shared" si="5"/>
        <v>0</v>
      </c>
      <c r="AF24" s="43">
        <f t="shared" si="5"/>
        <v>1</v>
      </c>
      <c r="AG24" s="44">
        <f t="shared" si="5"/>
        <v>8</v>
      </c>
      <c r="AH24" s="44">
        <f t="shared" si="5"/>
        <v>4</v>
      </c>
      <c r="AI24" s="44">
        <f t="shared" si="5"/>
        <v>0</v>
      </c>
      <c r="AJ24" s="44">
        <f t="shared" si="5"/>
        <v>4</v>
      </c>
      <c r="AK24" s="42">
        <f t="shared" si="5"/>
        <v>1</v>
      </c>
      <c r="AL24" s="42">
        <f t="shared" si="5"/>
        <v>0</v>
      </c>
      <c r="AM24" s="42">
        <f t="shared" si="5"/>
        <v>0</v>
      </c>
      <c r="AN24" s="42">
        <f t="shared" si="5"/>
        <v>1</v>
      </c>
    </row>
    <row r="26" spans="1:40" x14ac:dyDescent="0.2">
      <c r="A26" s="178" t="s">
        <v>429</v>
      </c>
    </row>
  </sheetData>
  <mergeCells count="13">
    <mergeCell ref="AP1:AQ1"/>
    <mergeCell ref="C24:E24"/>
    <mergeCell ref="A1:D1"/>
    <mergeCell ref="E1:G1"/>
    <mergeCell ref="H1:I1"/>
    <mergeCell ref="J1:M1"/>
    <mergeCell ref="Y1:AB1"/>
    <mergeCell ref="AC1:AF1"/>
    <mergeCell ref="AG1:AJ1"/>
    <mergeCell ref="AK1:AN1"/>
    <mergeCell ref="C22:E22"/>
    <mergeCell ref="N1:O1"/>
    <mergeCell ref="P1:R1"/>
  </mergeCells>
  <pageMargins left="0.7" right="0.7" top="0.75" bottom="0.75" header="0.3" footer="0.3"/>
  <ignoredErrors>
    <ignoredError sqref="T6" twoDigitTextYear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D4C98-B293-7B44-BFD0-09E302E2824F}">
  <dimension ref="A1:AQ22"/>
  <sheetViews>
    <sheetView zoomScale="80" zoomScaleNormal="80" workbookViewId="0">
      <selection sqref="A1:D1"/>
    </sheetView>
  </sheetViews>
  <sheetFormatPr baseColWidth="10" defaultColWidth="11.5" defaultRowHeight="16" x14ac:dyDescent="0.2"/>
  <cols>
    <col min="1" max="1" width="6.5" bestFit="1" customWidth="1"/>
    <col min="2" max="2" width="6" bestFit="1" customWidth="1"/>
    <col min="3" max="3" width="12" customWidth="1"/>
    <col min="4" max="4" width="4.83203125" customWidth="1"/>
    <col min="5" max="7" width="4.6640625" customWidth="1"/>
    <col min="8" max="18" width="4.83203125" customWidth="1"/>
    <col min="19" max="19" width="7" customWidth="1"/>
    <col min="20" max="20" width="6.83203125" customWidth="1"/>
    <col min="21" max="21" width="24" bestFit="1" customWidth="1"/>
    <col min="22" max="23" width="29" bestFit="1" customWidth="1"/>
    <col min="24" max="24" width="24" bestFit="1" customWidth="1"/>
    <col min="25" max="40" width="4.83203125" customWidth="1"/>
    <col min="42" max="42" width="14.5" bestFit="1" customWidth="1"/>
  </cols>
  <sheetData>
    <row r="1" spans="1:43" ht="17" thickBot="1" x14ac:dyDescent="0.25">
      <c r="A1" s="574" t="s">
        <v>80</v>
      </c>
      <c r="B1" s="575"/>
      <c r="C1" s="575"/>
      <c r="D1" s="576"/>
      <c r="E1" s="577" t="s">
        <v>0</v>
      </c>
      <c r="F1" s="578"/>
      <c r="G1" s="579"/>
      <c r="H1" s="577" t="s">
        <v>1</v>
      </c>
      <c r="I1" s="579"/>
      <c r="J1" s="580" t="s">
        <v>2</v>
      </c>
      <c r="K1" s="581"/>
      <c r="L1" s="581"/>
      <c r="M1" s="582"/>
      <c r="N1" s="580" t="s">
        <v>3</v>
      </c>
      <c r="O1" s="582"/>
      <c r="P1" s="580" t="s">
        <v>4</v>
      </c>
      <c r="Q1" s="581"/>
      <c r="R1" s="582"/>
      <c r="S1" s="145" t="s">
        <v>5</v>
      </c>
      <c r="T1" s="145" t="s">
        <v>6</v>
      </c>
      <c r="U1" s="146" t="s">
        <v>7</v>
      </c>
      <c r="V1" s="147" t="s">
        <v>8</v>
      </c>
      <c r="W1" s="147" t="s">
        <v>9</v>
      </c>
      <c r="X1" s="148" t="s">
        <v>10</v>
      </c>
      <c r="Y1" s="583" t="s">
        <v>11</v>
      </c>
      <c r="Z1" s="584"/>
      <c r="AA1" s="584"/>
      <c r="AB1" s="585"/>
      <c r="AC1" s="583" t="s">
        <v>12</v>
      </c>
      <c r="AD1" s="584"/>
      <c r="AE1" s="584"/>
      <c r="AF1" s="585"/>
      <c r="AG1" s="583" t="s">
        <v>13</v>
      </c>
      <c r="AH1" s="584"/>
      <c r="AI1" s="584"/>
      <c r="AJ1" s="585"/>
      <c r="AK1" s="583" t="s">
        <v>14</v>
      </c>
      <c r="AL1" s="584"/>
      <c r="AM1" s="584"/>
      <c r="AN1" s="585"/>
      <c r="AP1" s="573" t="s">
        <v>195</v>
      </c>
      <c r="AQ1" s="573"/>
    </row>
    <row r="2" spans="1:43" ht="17" thickBot="1" x14ac:dyDescent="0.25">
      <c r="A2" s="149" t="s">
        <v>15</v>
      </c>
      <c r="B2" s="150" t="s">
        <v>16</v>
      </c>
      <c r="C2" s="151" t="s">
        <v>17</v>
      </c>
      <c r="D2" s="151" t="s">
        <v>18</v>
      </c>
      <c r="E2" s="152" t="s">
        <v>19</v>
      </c>
      <c r="F2" s="152" t="s">
        <v>20</v>
      </c>
      <c r="G2" s="152" t="s">
        <v>21</v>
      </c>
      <c r="H2" s="153" t="s">
        <v>22</v>
      </c>
      <c r="I2" s="153" t="s">
        <v>23</v>
      </c>
      <c r="J2" s="153" t="s">
        <v>24</v>
      </c>
      <c r="K2" s="153" t="s">
        <v>25</v>
      </c>
      <c r="L2" s="153" t="s">
        <v>26</v>
      </c>
      <c r="M2" s="153" t="s">
        <v>27</v>
      </c>
      <c r="N2" s="153" t="s">
        <v>28</v>
      </c>
      <c r="O2" s="153" t="s">
        <v>19</v>
      </c>
      <c r="P2" s="153" t="s">
        <v>22</v>
      </c>
      <c r="Q2" s="153" t="s">
        <v>23</v>
      </c>
      <c r="R2" s="153" t="s">
        <v>24</v>
      </c>
      <c r="S2" s="154"/>
      <c r="T2" s="155"/>
      <c r="U2" s="156"/>
      <c r="V2" s="154"/>
      <c r="W2" s="157"/>
      <c r="X2" s="158"/>
      <c r="Y2" s="159" t="s">
        <v>29</v>
      </c>
      <c r="Z2" s="159" t="s">
        <v>30</v>
      </c>
      <c r="AA2" s="159" t="s">
        <v>26</v>
      </c>
      <c r="AB2" s="159" t="s">
        <v>31</v>
      </c>
      <c r="AC2" s="159" t="s">
        <v>29</v>
      </c>
      <c r="AD2" s="159" t="s">
        <v>30</v>
      </c>
      <c r="AE2" s="159" t="s">
        <v>26</v>
      </c>
      <c r="AF2" s="159" t="s">
        <v>31</v>
      </c>
      <c r="AG2" s="159" t="s">
        <v>29</v>
      </c>
      <c r="AH2" s="159" t="s">
        <v>30</v>
      </c>
      <c r="AI2" s="159" t="s">
        <v>26</v>
      </c>
      <c r="AJ2" s="159" t="s">
        <v>31</v>
      </c>
      <c r="AK2" s="159" t="s">
        <v>29</v>
      </c>
      <c r="AL2" s="159" t="s">
        <v>30</v>
      </c>
      <c r="AM2" s="159" t="s">
        <v>26</v>
      </c>
      <c r="AN2" s="160" t="s">
        <v>31</v>
      </c>
      <c r="AP2" s="333" t="s">
        <v>187</v>
      </c>
      <c r="AQ2" s="329">
        <f>Y20+79</f>
        <v>95</v>
      </c>
    </row>
    <row r="3" spans="1:43" ht="17" thickBot="1" x14ac:dyDescent="0.25">
      <c r="A3" s="1" t="s">
        <v>90</v>
      </c>
      <c r="B3" s="2" t="s">
        <v>44</v>
      </c>
      <c r="C3" s="3" t="s">
        <v>61</v>
      </c>
      <c r="D3" s="4" t="s">
        <v>21</v>
      </c>
      <c r="E3" s="4" t="s">
        <v>31</v>
      </c>
      <c r="F3" s="4">
        <v>15</v>
      </c>
      <c r="G3" s="5">
        <v>22</v>
      </c>
      <c r="H3" s="6">
        <v>0</v>
      </c>
      <c r="I3" s="7">
        <v>1</v>
      </c>
      <c r="J3" s="7">
        <v>2</v>
      </c>
      <c r="K3" s="7">
        <v>1</v>
      </c>
      <c r="L3" s="7">
        <v>0</v>
      </c>
      <c r="M3" s="7">
        <v>1</v>
      </c>
      <c r="N3" s="7">
        <v>1</v>
      </c>
      <c r="O3" s="7">
        <v>0</v>
      </c>
      <c r="P3" s="7">
        <v>0</v>
      </c>
      <c r="Q3" s="7">
        <v>0</v>
      </c>
      <c r="R3" s="7">
        <v>3</v>
      </c>
      <c r="S3" s="8"/>
      <c r="T3" s="9" t="s">
        <v>222</v>
      </c>
      <c r="U3" s="10" t="s">
        <v>201</v>
      </c>
      <c r="V3" s="11" t="s">
        <v>204</v>
      </c>
      <c r="W3" s="12" t="s">
        <v>202</v>
      </c>
      <c r="X3" s="11" t="s">
        <v>203</v>
      </c>
      <c r="Y3" s="11">
        <v>1</v>
      </c>
      <c r="Z3" s="11">
        <v>0</v>
      </c>
      <c r="AA3" s="11">
        <v>0</v>
      </c>
      <c r="AB3" s="13">
        <v>1</v>
      </c>
      <c r="AC3" s="11"/>
      <c r="AD3" s="11"/>
      <c r="AE3" s="11"/>
      <c r="AF3" s="13"/>
      <c r="AG3" s="11">
        <v>1</v>
      </c>
      <c r="AH3" s="11">
        <v>0</v>
      </c>
      <c r="AI3" s="11">
        <v>0</v>
      </c>
      <c r="AJ3" s="13">
        <v>1</v>
      </c>
      <c r="AK3" s="11"/>
      <c r="AL3" s="11"/>
      <c r="AM3" s="11"/>
      <c r="AN3" s="13"/>
      <c r="AP3" s="333" t="s">
        <v>188</v>
      </c>
      <c r="AQ3" s="329">
        <f>Z20+32</f>
        <v>37</v>
      </c>
    </row>
    <row r="4" spans="1:43" ht="17" thickBot="1" x14ac:dyDescent="0.25">
      <c r="A4" s="66" t="s">
        <v>48</v>
      </c>
      <c r="B4" s="67" t="s">
        <v>44</v>
      </c>
      <c r="C4" s="68" t="s">
        <v>57</v>
      </c>
      <c r="D4" s="69" t="s">
        <v>47</v>
      </c>
      <c r="E4" s="72" t="s">
        <v>30</v>
      </c>
      <c r="F4" s="69">
        <v>29</v>
      </c>
      <c r="G4" s="70">
        <v>15</v>
      </c>
      <c r="H4" s="71">
        <v>1</v>
      </c>
      <c r="I4" s="72">
        <v>0</v>
      </c>
      <c r="J4" s="72">
        <v>4</v>
      </c>
      <c r="K4" s="69">
        <v>3</v>
      </c>
      <c r="L4" s="72">
        <v>0</v>
      </c>
      <c r="M4" s="69">
        <v>1</v>
      </c>
      <c r="N4" s="72">
        <v>0</v>
      </c>
      <c r="O4" s="72">
        <v>0</v>
      </c>
      <c r="P4" s="72">
        <v>0</v>
      </c>
      <c r="Q4" s="69">
        <v>0</v>
      </c>
      <c r="R4" s="72">
        <v>2</v>
      </c>
      <c r="S4" s="73"/>
      <c r="T4" s="80" t="s">
        <v>248</v>
      </c>
      <c r="U4" s="75" t="s">
        <v>249</v>
      </c>
      <c r="V4" s="76" t="s">
        <v>206</v>
      </c>
      <c r="W4" s="76" t="s">
        <v>250</v>
      </c>
      <c r="X4" s="77" t="s">
        <v>251</v>
      </c>
      <c r="Y4" s="76">
        <v>1</v>
      </c>
      <c r="Z4" s="76">
        <v>1</v>
      </c>
      <c r="AA4" s="76">
        <v>0</v>
      </c>
      <c r="AB4" s="78">
        <v>0</v>
      </c>
      <c r="AC4" s="76">
        <v>1</v>
      </c>
      <c r="AD4" s="76">
        <v>1</v>
      </c>
      <c r="AE4" s="76">
        <v>0</v>
      </c>
      <c r="AF4" s="78">
        <v>0</v>
      </c>
      <c r="AG4" s="76"/>
      <c r="AH4" s="76"/>
      <c r="AI4" s="76"/>
      <c r="AJ4" s="78"/>
      <c r="AK4" s="76"/>
      <c r="AL4" s="76"/>
      <c r="AM4" s="76"/>
      <c r="AN4" s="78"/>
      <c r="AP4" s="333" t="s">
        <v>189</v>
      </c>
      <c r="AQ4" s="329">
        <f>AA20+3</f>
        <v>3</v>
      </c>
    </row>
    <row r="5" spans="1:43" ht="17" thickBot="1" x14ac:dyDescent="0.25">
      <c r="A5" s="66" t="s">
        <v>50</v>
      </c>
      <c r="B5" s="67" t="s">
        <v>44</v>
      </c>
      <c r="C5" s="68" t="s">
        <v>60</v>
      </c>
      <c r="D5" s="69" t="s">
        <v>47</v>
      </c>
      <c r="E5" s="69" t="s">
        <v>31</v>
      </c>
      <c r="F5" s="69">
        <v>13</v>
      </c>
      <c r="G5" s="70">
        <v>23</v>
      </c>
      <c r="H5" s="79">
        <v>0</v>
      </c>
      <c r="I5" s="70">
        <v>0</v>
      </c>
      <c r="J5" s="72">
        <v>2</v>
      </c>
      <c r="K5" s="72">
        <v>0</v>
      </c>
      <c r="L5" s="72">
        <v>0</v>
      </c>
      <c r="M5" s="72">
        <v>1</v>
      </c>
      <c r="N5" s="72">
        <v>0</v>
      </c>
      <c r="O5" s="72">
        <v>0</v>
      </c>
      <c r="P5" s="69">
        <v>0</v>
      </c>
      <c r="Q5" s="72">
        <v>0</v>
      </c>
      <c r="R5" s="69">
        <v>3</v>
      </c>
      <c r="S5" s="73"/>
      <c r="T5" s="74" t="s">
        <v>278</v>
      </c>
      <c r="U5" s="75" t="s">
        <v>197</v>
      </c>
      <c r="V5" s="76" t="s">
        <v>211</v>
      </c>
      <c r="W5" s="76" t="s">
        <v>208</v>
      </c>
      <c r="X5" s="77" t="s">
        <v>251</v>
      </c>
      <c r="Y5" s="76">
        <v>1</v>
      </c>
      <c r="Z5" s="76">
        <v>0</v>
      </c>
      <c r="AA5" s="76">
        <v>0</v>
      </c>
      <c r="AB5" s="78">
        <v>1</v>
      </c>
      <c r="AC5" s="76">
        <v>1</v>
      </c>
      <c r="AD5" s="76">
        <v>0</v>
      </c>
      <c r="AE5" s="76">
        <v>0</v>
      </c>
      <c r="AF5" s="78">
        <v>1</v>
      </c>
      <c r="AG5" s="76"/>
      <c r="AH5" s="76"/>
      <c r="AI5" s="76"/>
      <c r="AJ5" s="78"/>
      <c r="AK5" s="76"/>
      <c r="AL5" s="76"/>
      <c r="AM5" s="76"/>
      <c r="AN5" s="78"/>
      <c r="AP5" s="333" t="s">
        <v>190</v>
      </c>
      <c r="AQ5" s="329">
        <f>AB20+44</f>
        <v>55</v>
      </c>
    </row>
    <row r="6" spans="1:43" ht="17" thickBot="1" x14ac:dyDescent="0.25">
      <c r="A6" s="1" t="s">
        <v>82</v>
      </c>
      <c r="B6" s="2" t="s">
        <v>44</v>
      </c>
      <c r="C6" s="3" t="s">
        <v>63</v>
      </c>
      <c r="D6" s="4" t="s">
        <v>21</v>
      </c>
      <c r="E6" s="4" t="s">
        <v>31</v>
      </c>
      <c r="F6" s="4">
        <v>32</v>
      </c>
      <c r="G6" s="5">
        <v>36</v>
      </c>
      <c r="H6" s="5">
        <v>1</v>
      </c>
      <c r="I6" s="7">
        <v>1</v>
      </c>
      <c r="J6" s="4">
        <v>5</v>
      </c>
      <c r="K6" s="4">
        <v>2</v>
      </c>
      <c r="L6" s="7">
        <v>0</v>
      </c>
      <c r="M6" s="7">
        <v>1</v>
      </c>
      <c r="N6" s="7">
        <v>0</v>
      </c>
      <c r="O6" s="7">
        <v>0</v>
      </c>
      <c r="P6" s="7">
        <v>1</v>
      </c>
      <c r="Q6" s="4">
        <v>0</v>
      </c>
      <c r="R6" s="7">
        <v>5</v>
      </c>
      <c r="S6" s="8"/>
      <c r="T6" s="9" t="s">
        <v>309</v>
      </c>
      <c r="U6" s="11" t="s">
        <v>254</v>
      </c>
      <c r="V6" s="11" t="s">
        <v>297</v>
      </c>
      <c r="W6" s="11" t="s">
        <v>213</v>
      </c>
      <c r="X6" s="10" t="s">
        <v>262</v>
      </c>
      <c r="Y6" s="11">
        <v>1</v>
      </c>
      <c r="Z6" s="11">
        <v>0</v>
      </c>
      <c r="AA6" s="11">
        <v>0</v>
      </c>
      <c r="AB6" s="13">
        <v>1</v>
      </c>
      <c r="AC6" s="11"/>
      <c r="AD6" s="11"/>
      <c r="AE6" s="11"/>
      <c r="AF6" s="13"/>
      <c r="AG6" s="11">
        <v>1</v>
      </c>
      <c r="AH6" s="11">
        <v>0</v>
      </c>
      <c r="AI6" s="11">
        <v>0</v>
      </c>
      <c r="AJ6" s="13">
        <v>1</v>
      </c>
      <c r="AK6" s="11"/>
      <c r="AL6" s="11"/>
      <c r="AM6" s="11"/>
      <c r="AN6" s="13"/>
      <c r="AP6" s="333" t="s">
        <v>191</v>
      </c>
      <c r="AQ6" s="329">
        <f>F20+2184</f>
        <v>2608</v>
      </c>
    </row>
    <row r="7" spans="1:43" ht="17" thickBot="1" x14ac:dyDescent="0.25">
      <c r="A7" s="66" t="s">
        <v>54</v>
      </c>
      <c r="B7" s="67" t="s">
        <v>44</v>
      </c>
      <c r="C7" s="68" t="s">
        <v>83</v>
      </c>
      <c r="D7" s="69" t="s">
        <v>47</v>
      </c>
      <c r="E7" s="72" t="s">
        <v>30</v>
      </c>
      <c r="F7" s="69">
        <v>44</v>
      </c>
      <c r="G7" s="70">
        <v>19</v>
      </c>
      <c r="H7" s="71">
        <v>1</v>
      </c>
      <c r="I7" s="69">
        <v>0</v>
      </c>
      <c r="J7" s="72">
        <v>8</v>
      </c>
      <c r="K7" s="72">
        <v>2</v>
      </c>
      <c r="L7" s="72">
        <v>0</v>
      </c>
      <c r="M7" s="72">
        <v>0</v>
      </c>
      <c r="N7" s="72">
        <v>1</v>
      </c>
      <c r="O7" s="72">
        <v>0</v>
      </c>
      <c r="P7" s="72">
        <v>0</v>
      </c>
      <c r="Q7" s="72">
        <v>0</v>
      </c>
      <c r="R7" s="72">
        <v>3</v>
      </c>
      <c r="S7" s="73"/>
      <c r="T7" s="84" t="s">
        <v>327</v>
      </c>
      <c r="U7" s="75" t="s">
        <v>201</v>
      </c>
      <c r="V7" s="76" t="s">
        <v>207</v>
      </c>
      <c r="W7" s="76" t="s">
        <v>208</v>
      </c>
      <c r="X7" s="77" t="s">
        <v>213</v>
      </c>
      <c r="Y7" s="76">
        <v>1</v>
      </c>
      <c r="Z7" s="76">
        <v>1</v>
      </c>
      <c r="AA7" s="76">
        <v>0</v>
      </c>
      <c r="AB7" s="78">
        <v>0</v>
      </c>
      <c r="AC7" s="76">
        <v>1</v>
      </c>
      <c r="AD7" s="76">
        <v>1</v>
      </c>
      <c r="AE7" s="76">
        <v>0</v>
      </c>
      <c r="AF7" s="78">
        <v>0</v>
      </c>
      <c r="AG7" s="76"/>
      <c r="AH7" s="76"/>
      <c r="AI7" s="76"/>
      <c r="AJ7" s="78"/>
      <c r="AK7" s="76"/>
      <c r="AL7" s="76"/>
      <c r="AM7" s="76"/>
      <c r="AN7" s="78"/>
      <c r="AP7" s="333" t="s">
        <v>192</v>
      </c>
      <c r="AQ7" s="329">
        <f>G20+2256</f>
        <v>2727</v>
      </c>
    </row>
    <row r="8" spans="1:43" ht="17" thickBot="1" x14ac:dyDescent="0.25">
      <c r="A8" s="1" t="s">
        <v>92</v>
      </c>
      <c r="B8" s="2" t="s">
        <v>44</v>
      </c>
      <c r="C8" s="3" t="s">
        <v>51</v>
      </c>
      <c r="D8" s="4" t="s">
        <v>21</v>
      </c>
      <c r="E8" s="7" t="s">
        <v>31</v>
      </c>
      <c r="F8" s="4">
        <v>20</v>
      </c>
      <c r="G8" s="5">
        <v>22</v>
      </c>
      <c r="H8" s="6">
        <v>0</v>
      </c>
      <c r="I8" s="4">
        <v>1</v>
      </c>
      <c r="J8" s="7">
        <v>2</v>
      </c>
      <c r="K8" s="7">
        <v>2</v>
      </c>
      <c r="L8" s="7">
        <v>0</v>
      </c>
      <c r="M8" s="7">
        <v>2</v>
      </c>
      <c r="N8" s="7">
        <v>1</v>
      </c>
      <c r="O8" s="7">
        <v>0</v>
      </c>
      <c r="P8" s="4">
        <v>0</v>
      </c>
      <c r="Q8" s="7">
        <v>0</v>
      </c>
      <c r="R8" s="7">
        <v>3</v>
      </c>
      <c r="S8" s="8"/>
      <c r="T8" s="9" t="s">
        <v>252</v>
      </c>
      <c r="U8" s="10" t="s">
        <v>206</v>
      </c>
      <c r="V8" s="11" t="s">
        <v>207</v>
      </c>
      <c r="W8" s="11" t="s">
        <v>215</v>
      </c>
      <c r="X8" s="12" t="s">
        <v>336</v>
      </c>
      <c r="Y8" s="11">
        <v>1</v>
      </c>
      <c r="Z8" s="11">
        <v>0</v>
      </c>
      <c r="AA8" s="11">
        <v>0</v>
      </c>
      <c r="AB8" s="13">
        <v>1</v>
      </c>
      <c r="AC8" s="11"/>
      <c r="AD8" s="11"/>
      <c r="AE8" s="11"/>
      <c r="AF8" s="13"/>
      <c r="AG8" s="11">
        <v>1</v>
      </c>
      <c r="AH8" s="11">
        <v>0</v>
      </c>
      <c r="AI8" s="11">
        <v>0</v>
      </c>
      <c r="AJ8" s="13">
        <v>1</v>
      </c>
      <c r="AK8" s="11"/>
      <c r="AL8" s="11"/>
      <c r="AM8" s="11"/>
      <c r="AN8" s="13"/>
      <c r="AP8" s="333" t="s">
        <v>193</v>
      </c>
      <c r="AQ8" s="329">
        <f>J20+302</f>
        <v>362</v>
      </c>
    </row>
    <row r="9" spans="1:43" ht="17" thickBot="1" x14ac:dyDescent="0.25">
      <c r="A9" s="1" t="s">
        <v>84</v>
      </c>
      <c r="B9" s="2" t="s">
        <v>44</v>
      </c>
      <c r="C9" s="3" t="s">
        <v>66</v>
      </c>
      <c r="D9" s="4" t="s">
        <v>21</v>
      </c>
      <c r="E9" s="7" t="s">
        <v>30</v>
      </c>
      <c r="F9" s="4">
        <v>33</v>
      </c>
      <c r="G9" s="5">
        <v>32</v>
      </c>
      <c r="H9" s="6">
        <v>0</v>
      </c>
      <c r="I9" s="7">
        <v>0</v>
      </c>
      <c r="J9" s="7">
        <v>3</v>
      </c>
      <c r="K9" s="7">
        <v>3</v>
      </c>
      <c r="L9" s="7">
        <v>0</v>
      </c>
      <c r="M9" s="7">
        <v>4</v>
      </c>
      <c r="N9" s="7">
        <v>1</v>
      </c>
      <c r="O9" s="7">
        <v>0</v>
      </c>
      <c r="P9" s="7">
        <v>1</v>
      </c>
      <c r="Q9" s="7">
        <v>1</v>
      </c>
      <c r="R9" s="7">
        <v>4</v>
      </c>
      <c r="S9" s="8"/>
      <c r="T9" s="15" t="s">
        <v>355</v>
      </c>
      <c r="U9" s="10" t="s">
        <v>258</v>
      </c>
      <c r="V9" s="11" t="s">
        <v>297</v>
      </c>
      <c r="W9" s="11" t="s">
        <v>202</v>
      </c>
      <c r="X9" s="12" t="s">
        <v>259</v>
      </c>
      <c r="Y9" s="11">
        <v>1</v>
      </c>
      <c r="Z9" s="11">
        <v>1</v>
      </c>
      <c r="AA9" s="11">
        <v>0</v>
      </c>
      <c r="AB9" s="13">
        <v>0</v>
      </c>
      <c r="AC9" s="11"/>
      <c r="AD9" s="11"/>
      <c r="AE9" s="11"/>
      <c r="AF9" s="13"/>
      <c r="AG9" s="11">
        <v>1</v>
      </c>
      <c r="AH9" s="11">
        <v>1</v>
      </c>
      <c r="AI9" s="11">
        <v>0</v>
      </c>
      <c r="AJ9" s="13">
        <v>0</v>
      </c>
      <c r="AK9" s="11"/>
      <c r="AL9" s="11"/>
      <c r="AM9" s="11"/>
      <c r="AN9" s="13"/>
      <c r="AP9" s="333" t="s">
        <v>194</v>
      </c>
      <c r="AQ9" s="329">
        <f>R20+312</f>
        <v>379</v>
      </c>
    </row>
    <row r="10" spans="1:43" ht="17" thickBot="1" x14ac:dyDescent="0.25">
      <c r="A10" s="66" t="s">
        <v>58</v>
      </c>
      <c r="B10" s="67" t="s">
        <v>44</v>
      </c>
      <c r="C10" s="68" t="s">
        <v>53</v>
      </c>
      <c r="D10" s="69" t="s">
        <v>47</v>
      </c>
      <c r="E10" s="69" t="s">
        <v>30</v>
      </c>
      <c r="F10" s="69">
        <v>31</v>
      </c>
      <c r="G10" s="70">
        <v>24</v>
      </c>
      <c r="H10" s="71">
        <v>1</v>
      </c>
      <c r="I10" s="72">
        <v>0</v>
      </c>
      <c r="J10" s="72">
        <v>4</v>
      </c>
      <c r="K10" s="72">
        <v>4</v>
      </c>
      <c r="L10" s="72">
        <v>0</v>
      </c>
      <c r="M10" s="72">
        <v>1</v>
      </c>
      <c r="N10" s="69">
        <v>2</v>
      </c>
      <c r="O10" s="72">
        <v>0</v>
      </c>
      <c r="P10" s="72">
        <v>1</v>
      </c>
      <c r="Q10" s="69">
        <v>1</v>
      </c>
      <c r="R10" s="72">
        <v>4</v>
      </c>
      <c r="S10" s="73"/>
      <c r="T10" s="80" t="s">
        <v>357</v>
      </c>
      <c r="U10" s="75" t="s">
        <v>205</v>
      </c>
      <c r="V10" s="76" t="s">
        <v>211</v>
      </c>
      <c r="W10" s="76" t="s">
        <v>206</v>
      </c>
      <c r="X10" s="77" t="s">
        <v>251</v>
      </c>
      <c r="Y10" s="76">
        <v>1</v>
      </c>
      <c r="Z10" s="76">
        <v>1</v>
      </c>
      <c r="AA10" s="76">
        <v>0</v>
      </c>
      <c r="AB10" s="78">
        <v>0</v>
      </c>
      <c r="AC10" s="76">
        <v>1</v>
      </c>
      <c r="AD10" s="76">
        <v>1</v>
      </c>
      <c r="AE10" s="76">
        <v>0</v>
      </c>
      <c r="AF10" s="78">
        <v>0</v>
      </c>
      <c r="AG10" s="76"/>
      <c r="AH10" s="76"/>
      <c r="AI10" s="76"/>
      <c r="AJ10" s="78"/>
      <c r="AK10" s="76"/>
      <c r="AL10" s="76"/>
      <c r="AM10" s="76"/>
      <c r="AN10" s="78"/>
    </row>
    <row r="11" spans="1:43" ht="17" thickBot="1" x14ac:dyDescent="0.25">
      <c r="A11" s="66" t="s">
        <v>85</v>
      </c>
      <c r="B11" s="67" t="s">
        <v>44</v>
      </c>
      <c r="C11" s="68" t="s">
        <v>61</v>
      </c>
      <c r="D11" s="69" t="s">
        <v>47</v>
      </c>
      <c r="E11" s="69" t="s">
        <v>31</v>
      </c>
      <c r="F11" s="69">
        <v>24</v>
      </c>
      <c r="G11" s="70">
        <v>29</v>
      </c>
      <c r="H11" s="71">
        <v>0</v>
      </c>
      <c r="I11" s="72">
        <v>1</v>
      </c>
      <c r="J11" s="72">
        <v>3</v>
      </c>
      <c r="K11" s="72">
        <v>3</v>
      </c>
      <c r="L11" s="72">
        <v>0</v>
      </c>
      <c r="M11" s="72">
        <v>1</v>
      </c>
      <c r="N11" s="72">
        <v>1</v>
      </c>
      <c r="O11" s="72">
        <v>0</v>
      </c>
      <c r="P11" s="72">
        <v>1</v>
      </c>
      <c r="Q11" s="69">
        <v>0</v>
      </c>
      <c r="R11" s="72">
        <v>4</v>
      </c>
      <c r="S11" s="73"/>
      <c r="T11" s="74" t="s">
        <v>377</v>
      </c>
      <c r="U11" s="75" t="s">
        <v>258</v>
      </c>
      <c r="V11" s="76" t="s">
        <v>204</v>
      </c>
      <c r="W11" s="76" t="s">
        <v>208</v>
      </c>
      <c r="X11" s="77" t="s">
        <v>251</v>
      </c>
      <c r="Y11" s="76">
        <v>1</v>
      </c>
      <c r="Z11" s="76">
        <v>0</v>
      </c>
      <c r="AA11" s="76">
        <v>0</v>
      </c>
      <c r="AB11" s="78">
        <v>1</v>
      </c>
      <c r="AC11" s="76">
        <v>1</v>
      </c>
      <c r="AD11" s="76">
        <v>0</v>
      </c>
      <c r="AE11" s="76">
        <v>0</v>
      </c>
      <c r="AF11" s="78">
        <v>1</v>
      </c>
      <c r="AG11" s="76"/>
      <c r="AH11" s="76"/>
      <c r="AI11" s="76"/>
      <c r="AJ11" s="78"/>
      <c r="AK11" s="76"/>
      <c r="AL11" s="76"/>
      <c r="AM11" s="76"/>
      <c r="AN11" s="78"/>
    </row>
    <row r="12" spans="1:43" ht="17" thickBot="1" x14ac:dyDescent="0.25">
      <c r="A12" s="16" t="s">
        <v>97</v>
      </c>
      <c r="B12" s="2" t="s">
        <v>44</v>
      </c>
      <c r="C12" s="3" t="s">
        <v>52</v>
      </c>
      <c r="D12" s="4" t="s">
        <v>21</v>
      </c>
      <c r="E12" s="4" t="s">
        <v>31</v>
      </c>
      <c r="F12" s="4">
        <v>19</v>
      </c>
      <c r="G12" s="5">
        <v>20</v>
      </c>
      <c r="H12" s="6">
        <v>0</v>
      </c>
      <c r="I12" s="7">
        <v>1</v>
      </c>
      <c r="J12" s="7">
        <v>3</v>
      </c>
      <c r="K12" s="7">
        <v>1</v>
      </c>
      <c r="L12" s="7">
        <v>0</v>
      </c>
      <c r="M12" s="7">
        <v>0</v>
      </c>
      <c r="N12" s="4">
        <v>1</v>
      </c>
      <c r="O12" s="7">
        <v>1</v>
      </c>
      <c r="P12" s="7">
        <v>0</v>
      </c>
      <c r="Q12" s="7">
        <v>0</v>
      </c>
      <c r="R12" s="7">
        <v>2</v>
      </c>
      <c r="S12" s="17"/>
      <c r="T12" s="9" t="s">
        <v>340</v>
      </c>
      <c r="U12" s="10" t="s">
        <v>197</v>
      </c>
      <c r="V12" s="11" t="s">
        <v>207</v>
      </c>
      <c r="W12" s="11" t="s">
        <v>254</v>
      </c>
      <c r="X12" s="12" t="s">
        <v>210</v>
      </c>
      <c r="Y12" s="11">
        <v>1</v>
      </c>
      <c r="Z12" s="11">
        <v>0</v>
      </c>
      <c r="AA12" s="11">
        <v>0</v>
      </c>
      <c r="AB12" s="13">
        <v>1</v>
      </c>
      <c r="AC12" s="11"/>
      <c r="AD12" s="11"/>
      <c r="AE12" s="11"/>
      <c r="AF12" s="13"/>
      <c r="AG12" s="11">
        <v>1</v>
      </c>
      <c r="AH12" s="11">
        <v>0</v>
      </c>
      <c r="AI12" s="11">
        <v>0</v>
      </c>
      <c r="AJ12" s="13">
        <v>1</v>
      </c>
      <c r="AK12" s="11"/>
      <c r="AL12" s="11"/>
      <c r="AM12" s="11"/>
      <c r="AN12" s="13"/>
    </row>
    <row r="13" spans="1:43" ht="17" thickBot="1" x14ac:dyDescent="0.25">
      <c r="A13" s="16" t="s">
        <v>98</v>
      </c>
      <c r="B13" s="2" t="s">
        <v>44</v>
      </c>
      <c r="C13" s="3" t="s">
        <v>49</v>
      </c>
      <c r="D13" s="4" t="s">
        <v>21</v>
      </c>
      <c r="E13" s="4" t="s">
        <v>31</v>
      </c>
      <c r="F13" s="4">
        <v>14</v>
      </c>
      <c r="G13" s="5">
        <v>21</v>
      </c>
      <c r="H13" s="6">
        <v>0</v>
      </c>
      <c r="I13" s="7">
        <v>1</v>
      </c>
      <c r="J13" s="7">
        <v>2</v>
      </c>
      <c r="K13" s="7">
        <v>2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3</v>
      </c>
      <c r="S13" s="17"/>
      <c r="T13" s="9" t="s">
        <v>364</v>
      </c>
      <c r="U13" s="10" t="s">
        <v>214</v>
      </c>
      <c r="V13" s="382" t="s">
        <v>337</v>
      </c>
      <c r="W13" s="11" t="s">
        <v>249</v>
      </c>
      <c r="X13" s="12" t="s">
        <v>388</v>
      </c>
      <c r="Y13" s="11">
        <v>1</v>
      </c>
      <c r="Z13" s="11">
        <v>0</v>
      </c>
      <c r="AA13" s="11">
        <v>0</v>
      </c>
      <c r="AB13" s="13">
        <v>1</v>
      </c>
      <c r="AC13" s="11"/>
      <c r="AD13" s="11"/>
      <c r="AE13" s="11"/>
      <c r="AF13" s="13"/>
      <c r="AG13" s="11">
        <v>1</v>
      </c>
      <c r="AH13" s="11">
        <v>0</v>
      </c>
      <c r="AI13" s="11">
        <v>0</v>
      </c>
      <c r="AJ13" s="13">
        <v>1</v>
      </c>
      <c r="AK13" s="11"/>
      <c r="AL13" s="11"/>
      <c r="AM13" s="11"/>
      <c r="AN13" s="13"/>
    </row>
    <row r="14" spans="1:43" ht="17" thickBot="1" x14ac:dyDescent="0.25">
      <c r="A14" s="81" t="s">
        <v>64</v>
      </c>
      <c r="B14" s="67" t="s">
        <v>44</v>
      </c>
      <c r="C14" s="68" t="s">
        <v>66</v>
      </c>
      <c r="D14" s="69" t="s">
        <v>47</v>
      </c>
      <c r="E14" s="69" t="s">
        <v>31</v>
      </c>
      <c r="F14" s="69">
        <v>20</v>
      </c>
      <c r="G14" s="70">
        <v>27</v>
      </c>
      <c r="H14" s="71">
        <v>0</v>
      </c>
      <c r="I14" s="72">
        <v>1</v>
      </c>
      <c r="J14" s="72">
        <v>3</v>
      </c>
      <c r="K14" s="72">
        <v>1</v>
      </c>
      <c r="L14" s="72">
        <v>0</v>
      </c>
      <c r="M14" s="72">
        <v>1</v>
      </c>
      <c r="N14" s="72">
        <v>0</v>
      </c>
      <c r="O14" s="72">
        <v>0</v>
      </c>
      <c r="P14" s="72">
        <v>0</v>
      </c>
      <c r="Q14" s="72">
        <v>0</v>
      </c>
      <c r="R14" s="72">
        <v>3</v>
      </c>
      <c r="S14" s="82"/>
      <c r="T14" s="83" t="s">
        <v>425</v>
      </c>
      <c r="U14" s="75" t="s">
        <v>201</v>
      </c>
      <c r="V14" s="76" t="s">
        <v>242</v>
      </c>
      <c r="W14" s="76" t="s">
        <v>426</v>
      </c>
      <c r="X14" s="77" t="s">
        <v>251</v>
      </c>
      <c r="Y14" s="76">
        <v>1</v>
      </c>
      <c r="Z14" s="76">
        <v>0</v>
      </c>
      <c r="AA14" s="76">
        <v>0</v>
      </c>
      <c r="AB14" s="78">
        <v>1</v>
      </c>
      <c r="AC14" s="76">
        <v>1</v>
      </c>
      <c r="AD14" s="76">
        <v>0</v>
      </c>
      <c r="AE14" s="76">
        <v>0</v>
      </c>
      <c r="AF14" s="78">
        <v>1</v>
      </c>
      <c r="AG14" s="76"/>
      <c r="AH14" s="76"/>
      <c r="AI14" s="76"/>
      <c r="AJ14" s="78"/>
      <c r="AK14" s="76"/>
      <c r="AL14" s="76"/>
      <c r="AM14" s="76"/>
      <c r="AN14" s="78"/>
    </row>
    <row r="15" spans="1:43" ht="17" thickBot="1" x14ac:dyDescent="0.25">
      <c r="A15" s="16" t="s">
        <v>87</v>
      </c>
      <c r="B15" s="2" t="s">
        <v>44</v>
      </c>
      <c r="C15" s="3" t="s">
        <v>60</v>
      </c>
      <c r="D15" s="4" t="s">
        <v>21</v>
      </c>
      <c r="E15" s="4" t="s">
        <v>31</v>
      </c>
      <c r="F15" s="4">
        <v>29</v>
      </c>
      <c r="G15" s="5">
        <v>68</v>
      </c>
      <c r="H15" s="6">
        <v>1</v>
      </c>
      <c r="I15" s="7">
        <v>0</v>
      </c>
      <c r="J15" s="7">
        <v>4</v>
      </c>
      <c r="K15" s="7">
        <v>2</v>
      </c>
      <c r="L15" s="7">
        <v>0</v>
      </c>
      <c r="M15" s="7">
        <v>1</v>
      </c>
      <c r="N15" s="7">
        <v>1</v>
      </c>
      <c r="O15" s="7">
        <v>0</v>
      </c>
      <c r="P15" s="7">
        <v>1</v>
      </c>
      <c r="Q15" s="7">
        <v>0</v>
      </c>
      <c r="R15" s="7">
        <v>10</v>
      </c>
      <c r="S15" s="17"/>
      <c r="T15" s="9" t="s">
        <v>441</v>
      </c>
      <c r="U15" s="10" t="s">
        <v>430</v>
      </c>
      <c r="V15" s="11" t="s">
        <v>207</v>
      </c>
      <c r="W15" s="11" t="s">
        <v>215</v>
      </c>
      <c r="X15" s="12" t="s">
        <v>216</v>
      </c>
      <c r="Y15" s="11">
        <v>1</v>
      </c>
      <c r="Z15" s="11">
        <v>0</v>
      </c>
      <c r="AA15" s="11">
        <v>0</v>
      </c>
      <c r="AB15" s="13">
        <v>1</v>
      </c>
      <c r="AC15" s="11"/>
      <c r="AD15" s="11"/>
      <c r="AE15" s="11"/>
      <c r="AF15" s="13"/>
      <c r="AG15" s="11">
        <v>1</v>
      </c>
      <c r="AH15" s="11">
        <v>0</v>
      </c>
      <c r="AI15" s="11">
        <v>0</v>
      </c>
      <c r="AJ15" s="13">
        <v>1</v>
      </c>
      <c r="AK15" s="11"/>
      <c r="AL15" s="11"/>
      <c r="AM15" s="11"/>
      <c r="AN15" s="13"/>
    </row>
    <row r="16" spans="1:43" ht="17" thickBot="1" x14ac:dyDescent="0.25">
      <c r="A16" s="16" t="s">
        <v>88</v>
      </c>
      <c r="B16" s="2" t="s">
        <v>44</v>
      </c>
      <c r="C16" s="3" t="s">
        <v>46</v>
      </c>
      <c r="D16" s="4" t="s">
        <v>21</v>
      </c>
      <c r="E16" s="4" t="s">
        <v>31</v>
      </c>
      <c r="F16" s="4">
        <v>27</v>
      </c>
      <c r="G16" s="5">
        <v>36</v>
      </c>
      <c r="H16" s="6">
        <v>0</v>
      </c>
      <c r="I16" s="7">
        <v>0</v>
      </c>
      <c r="J16" s="7">
        <v>3</v>
      </c>
      <c r="K16" s="7">
        <v>3</v>
      </c>
      <c r="L16" s="7">
        <v>0</v>
      </c>
      <c r="M16" s="7">
        <v>2</v>
      </c>
      <c r="N16" s="7">
        <v>1</v>
      </c>
      <c r="O16" s="7">
        <v>0</v>
      </c>
      <c r="P16" s="7">
        <v>1</v>
      </c>
      <c r="Q16" s="7">
        <v>0</v>
      </c>
      <c r="R16" s="7">
        <v>5</v>
      </c>
      <c r="S16" s="17"/>
      <c r="T16" s="18" t="s">
        <v>443</v>
      </c>
      <c r="U16" s="10" t="s">
        <v>212</v>
      </c>
      <c r="V16" s="11" t="s">
        <v>207</v>
      </c>
      <c r="W16" s="11" t="s">
        <v>245</v>
      </c>
      <c r="X16" s="11" t="s">
        <v>241</v>
      </c>
      <c r="Y16" s="11">
        <v>1</v>
      </c>
      <c r="Z16" s="11">
        <v>0</v>
      </c>
      <c r="AA16" s="11">
        <v>0</v>
      </c>
      <c r="AB16" s="13">
        <v>1</v>
      </c>
      <c r="AC16" s="11"/>
      <c r="AD16" s="11"/>
      <c r="AE16" s="11"/>
      <c r="AF16" s="13"/>
      <c r="AG16" s="11">
        <v>1</v>
      </c>
      <c r="AH16" s="11">
        <v>0</v>
      </c>
      <c r="AI16" s="11">
        <v>0</v>
      </c>
      <c r="AJ16" s="13">
        <v>1</v>
      </c>
      <c r="AK16" s="11"/>
      <c r="AL16" s="11"/>
      <c r="AM16" s="11"/>
      <c r="AN16" s="13"/>
    </row>
    <row r="17" spans="1:40" ht="17" thickBot="1" x14ac:dyDescent="0.25">
      <c r="A17" s="81" t="s">
        <v>68</v>
      </c>
      <c r="B17" s="67" t="s">
        <v>44</v>
      </c>
      <c r="C17" s="68" t="s">
        <v>51</v>
      </c>
      <c r="D17" s="69" t="s">
        <v>47</v>
      </c>
      <c r="E17" s="69" t="s">
        <v>30</v>
      </c>
      <c r="F17" s="69">
        <v>50</v>
      </c>
      <c r="G17" s="70">
        <v>46</v>
      </c>
      <c r="H17" s="71">
        <v>1</v>
      </c>
      <c r="I17" s="72">
        <v>0</v>
      </c>
      <c r="J17" s="72">
        <v>8</v>
      </c>
      <c r="K17" s="72">
        <v>4</v>
      </c>
      <c r="L17" s="72">
        <v>0</v>
      </c>
      <c r="M17" s="72">
        <v>0</v>
      </c>
      <c r="N17" s="69">
        <v>3</v>
      </c>
      <c r="O17" s="72">
        <v>0</v>
      </c>
      <c r="P17" s="72">
        <v>1</v>
      </c>
      <c r="Q17" s="72">
        <v>1</v>
      </c>
      <c r="R17" s="72">
        <v>8</v>
      </c>
      <c r="S17" s="73"/>
      <c r="T17" s="80" t="s">
        <v>459</v>
      </c>
      <c r="U17" s="76" t="s">
        <v>258</v>
      </c>
      <c r="V17" s="76" t="s">
        <v>337</v>
      </c>
      <c r="W17" s="76" t="s">
        <v>208</v>
      </c>
      <c r="X17" s="76" t="s">
        <v>251</v>
      </c>
      <c r="Y17" s="76">
        <v>1</v>
      </c>
      <c r="Z17" s="76">
        <v>1</v>
      </c>
      <c r="AA17" s="76">
        <v>0</v>
      </c>
      <c r="AB17" s="78">
        <v>0</v>
      </c>
      <c r="AC17" s="76">
        <v>1</v>
      </c>
      <c r="AD17" s="76">
        <v>1</v>
      </c>
      <c r="AE17" s="76">
        <v>0</v>
      </c>
      <c r="AF17" s="78">
        <v>0</v>
      </c>
      <c r="AG17" s="76"/>
      <c r="AH17" s="76"/>
      <c r="AI17" s="76"/>
      <c r="AJ17" s="78"/>
      <c r="AK17" s="76"/>
      <c r="AL17" s="76"/>
      <c r="AM17" s="76"/>
      <c r="AN17" s="78"/>
    </row>
    <row r="18" spans="1:40" ht="17" thickBot="1" x14ac:dyDescent="0.25">
      <c r="A18" s="81" t="s">
        <v>89</v>
      </c>
      <c r="B18" s="67" t="s">
        <v>44</v>
      </c>
      <c r="C18" s="161" t="s">
        <v>63</v>
      </c>
      <c r="D18" s="162" t="s">
        <v>47</v>
      </c>
      <c r="E18" s="162" t="s">
        <v>31</v>
      </c>
      <c r="F18" s="163">
        <v>24</v>
      </c>
      <c r="G18" s="164">
        <v>31</v>
      </c>
      <c r="H18" s="165">
        <v>1</v>
      </c>
      <c r="I18" s="166">
        <v>1</v>
      </c>
      <c r="J18" s="166">
        <v>4</v>
      </c>
      <c r="K18" s="166">
        <v>2</v>
      </c>
      <c r="L18" s="166">
        <v>0</v>
      </c>
      <c r="M18" s="166">
        <v>0</v>
      </c>
      <c r="N18" s="166">
        <v>1</v>
      </c>
      <c r="O18" s="166">
        <v>0</v>
      </c>
      <c r="P18" s="166">
        <v>1</v>
      </c>
      <c r="Q18" s="166">
        <v>0</v>
      </c>
      <c r="R18" s="166">
        <v>5</v>
      </c>
      <c r="S18" s="167"/>
      <c r="T18" s="168" t="s">
        <v>433</v>
      </c>
      <c r="U18" s="169" t="s">
        <v>245</v>
      </c>
      <c r="V18" s="169" t="s">
        <v>337</v>
      </c>
      <c r="W18" s="169" t="s">
        <v>206</v>
      </c>
      <c r="X18" s="170" t="s">
        <v>251</v>
      </c>
      <c r="Y18" s="169">
        <v>1</v>
      </c>
      <c r="Z18" s="169">
        <v>0</v>
      </c>
      <c r="AA18" s="169">
        <v>0</v>
      </c>
      <c r="AB18" s="171">
        <v>1</v>
      </c>
      <c r="AC18" s="169">
        <v>1</v>
      </c>
      <c r="AD18" s="169">
        <v>0</v>
      </c>
      <c r="AE18" s="169">
        <v>0</v>
      </c>
      <c r="AF18" s="171">
        <v>1</v>
      </c>
      <c r="AG18" s="169"/>
      <c r="AH18" s="169"/>
      <c r="AI18" s="169"/>
      <c r="AJ18" s="171"/>
      <c r="AK18" s="169"/>
      <c r="AL18" s="169"/>
      <c r="AM18" s="169"/>
      <c r="AN18" s="171"/>
    </row>
    <row r="19" spans="1:40" ht="17" thickBot="1" x14ac:dyDescent="0.25">
      <c r="A19" s="33"/>
      <c r="B19" s="34"/>
      <c r="C19" s="425" t="s">
        <v>40</v>
      </c>
      <c r="D19" s="426"/>
      <c r="E19" s="427"/>
      <c r="F19" s="38">
        <f t="shared" ref="F19:R19" si="0">SUM(F3+F4+F5+F6+F7+F8+F9+F10+F11+F12+F13+F14+F15+F16+F17+F18)</f>
        <v>424</v>
      </c>
      <c r="G19" s="38">
        <f t="shared" si="0"/>
        <v>471</v>
      </c>
      <c r="H19" s="38">
        <f t="shared" si="0"/>
        <v>7</v>
      </c>
      <c r="I19" s="38">
        <f t="shared" si="0"/>
        <v>8</v>
      </c>
      <c r="J19" s="38">
        <f t="shared" si="0"/>
        <v>60</v>
      </c>
      <c r="K19" s="38">
        <f t="shared" si="0"/>
        <v>35</v>
      </c>
      <c r="L19" s="38">
        <f t="shared" si="0"/>
        <v>0</v>
      </c>
      <c r="M19" s="38">
        <f t="shared" si="0"/>
        <v>16</v>
      </c>
      <c r="N19" s="38">
        <f t="shared" si="0"/>
        <v>14</v>
      </c>
      <c r="O19" s="38">
        <f t="shared" si="0"/>
        <v>1</v>
      </c>
      <c r="P19" s="38">
        <f t="shared" si="0"/>
        <v>8</v>
      </c>
      <c r="Q19" s="38">
        <f t="shared" si="0"/>
        <v>3</v>
      </c>
      <c r="R19" s="38">
        <f t="shared" si="0"/>
        <v>67</v>
      </c>
      <c r="S19" s="39"/>
      <c r="T19" s="39"/>
      <c r="U19" s="39"/>
      <c r="V19" s="39"/>
      <c r="W19" s="40"/>
      <c r="X19" s="41" t="s">
        <v>40</v>
      </c>
      <c r="Y19" s="38">
        <f t="shared" ref="Y19:AN19" si="1">Y3+Y4+Y5+Y6+Y7+Y8+Y9+Y10+Y11+Y12+Y13+Y14+Y15+Y16+Y17+Y18</f>
        <v>16</v>
      </c>
      <c r="Z19" s="38">
        <f t="shared" si="1"/>
        <v>5</v>
      </c>
      <c r="AA19" s="38">
        <f t="shared" si="1"/>
        <v>0</v>
      </c>
      <c r="AB19" s="38">
        <f t="shared" si="1"/>
        <v>11</v>
      </c>
      <c r="AC19" s="32">
        <f t="shared" si="1"/>
        <v>8</v>
      </c>
      <c r="AD19" s="32">
        <f t="shared" si="1"/>
        <v>4</v>
      </c>
      <c r="AE19" s="32">
        <f t="shared" si="1"/>
        <v>0</v>
      </c>
      <c r="AF19" s="32">
        <f t="shared" si="1"/>
        <v>4</v>
      </c>
      <c r="AG19" s="31">
        <f t="shared" si="1"/>
        <v>8</v>
      </c>
      <c r="AH19" s="31">
        <f t="shared" si="1"/>
        <v>1</v>
      </c>
      <c r="AI19" s="31">
        <f t="shared" si="1"/>
        <v>0</v>
      </c>
      <c r="AJ19" s="31">
        <f t="shared" si="1"/>
        <v>7</v>
      </c>
      <c r="AK19" s="38">
        <f t="shared" si="1"/>
        <v>0</v>
      </c>
      <c r="AL19" s="38">
        <f t="shared" si="1"/>
        <v>0</v>
      </c>
      <c r="AM19" s="38">
        <f t="shared" si="1"/>
        <v>0</v>
      </c>
      <c r="AN19" s="38">
        <f t="shared" si="1"/>
        <v>0</v>
      </c>
    </row>
    <row r="20" spans="1:40" ht="17" thickBot="1" x14ac:dyDescent="0.25">
      <c r="A20" s="33"/>
      <c r="B20" s="34"/>
      <c r="C20" s="425" t="s">
        <v>42</v>
      </c>
      <c r="D20" s="431"/>
      <c r="E20" s="432"/>
      <c r="F20" s="42">
        <f>F19</f>
        <v>424</v>
      </c>
      <c r="G20" s="42">
        <f t="shared" ref="G20:R20" si="2">G19</f>
        <v>471</v>
      </c>
      <c r="H20" s="42">
        <f t="shared" si="2"/>
        <v>7</v>
      </c>
      <c r="I20" s="42">
        <f t="shared" si="2"/>
        <v>8</v>
      </c>
      <c r="J20" s="42">
        <f t="shared" si="2"/>
        <v>60</v>
      </c>
      <c r="K20" s="42">
        <f t="shared" si="2"/>
        <v>35</v>
      </c>
      <c r="L20" s="42">
        <f t="shared" si="2"/>
        <v>0</v>
      </c>
      <c r="M20" s="42">
        <f t="shared" si="2"/>
        <v>16</v>
      </c>
      <c r="N20" s="42">
        <f t="shared" si="2"/>
        <v>14</v>
      </c>
      <c r="O20" s="42">
        <f t="shared" si="2"/>
        <v>1</v>
      </c>
      <c r="P20" s="42">
        <f t="shared" si="2"/>
        <v>8</v>
      </c>
      <c r="Q20" s="42">
        <f t="shared" si="2"/>
        <v>3</v>
      </c>
      <c r="R20" s="42">
        <f t="shared" si="2"/>
        <v>67</v>
      </c>
      <c r="S20" s="39"/>
      <c r="T20" s="39"/>
      <c r="U20" s="39"/>
      <c r="V20" s="39"/>
      <c r="W20" s="40"/>
      <c r="X20" s="41" t="s">
        <v>42</v>
      </c>
      <c r="Y20" s="38">
        <f>Y19</f>
        <v>16</v>
      </c>
      <c r="Z20" s="38">
        <f t="shared" ref="Z20:AN20" si="3">Z19</f>
        <v>5</v>
      </c>
      <c r="AA20" s="38">
        <f t="shared" si="3"/>
        <v>0</v>
      </c>
      <c r="AB20" s="38">
        <f t="shared" si="3"/>
        <v>11</v>
      </c>
      <c r="AC20" s="32">
        <f t="shared" si="3"/>
        <v>8</v>
      </c>
      <c r="AD20" s="32">
        <f t="shared" si="3"/>
        <v>4</v>
      </c>
      <c r="AE20" s="32">
        <f t="shared" si="3"/>
        <v>0</v>
      </c>
      <c r="AF20" s="32">
        <f t="shared" si="3"/>
        <v>4</v>
      </c>
      <c r="AG20" s="31">
        <f t="shared" si="3"/>
        <v>8</v>
      </c>
      <c r="AH20" s="31">
        <f t="shared" si="3"/>
        <v>1</v>
      </c>
      <c r="AI20" s="31">
        <f t="shared" si="3"/>
        <v>0</v>
      </c>
      <c r="AJ20" s="31">
        <f t="shared" si="3"/>
        <v>7</v>
      </c>
      <c r="AK20" s="38">
        <f t="shared" si="3"/>
        <v>0</v>
      </c>
      <c r="AL20" s="38">
        <f t="shared" si="3"/>
        <v>0</v>
      </c>
      <c r="AM20" s="38">
        <f t="shared" si="3"/>
        <v>0</v>
      </c>
      <c r="AN20" s="38">
        <f t="shared" si="3"/>
        <v>0</v>
      </c>
    </row>
    <row r="22" spans="1:40" x14ac:dyDescent="0.2">
      <c r="A22" s="178" t="s">
        <v>429</v>
      </c>
    </row>
  </sheetData>
  <mergeCells count="13">
    <mergeCell ref="AP1:AQ1"/>
    <mergeCell ref="C20:E20"/>
    <mergeCell ref="A1:D1"/>
    <mergeCell ref="E1:G1"/>
    <mergeCell ref="H1:I1"/>
    <mergeCell ref="J1:M1"/>
    <mergeCell ref="Y1:AB1"/>
    <mergeCell ref="AC1:AF1"/>
    <mergeCell ref="AG1:AJ1"/>
    <mergeCell ref="AK1:AN1"/>
    <mergeCell ref="C19:E19"/>
    <mergeCell ref="N1:O1"/>
    <mergeCell ref="P1:R1"/>
  </mergeCells>
  <pageMargins left="0.7" right="0.7" top="0.75" bottom="0.75" header="0.3" footer="0.3"/>
  <ignoredErrors>
    <ignoredError sqref="T3 T5 T8" twoDigitTextYear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F2E83-FB0B-EB41-9D1A-B4342251B591}">
  <dimension ref="A1:N129"/>
  <sheetViews>
    <sheetView workbookViewId="0"/>
  </sheetViews>
  <sheetFormatPr baseColWidth="10" defaultColWidth="11.5" defaultRowHeight="16" x14ac:dyDescent="0.2"/>
  <cols>
    <col min="2" max="3" width="6.83203125" customWidth="1"/>
    <col min="4" max="4" width="5.83203125" customWidth="1"/>
    <col min="5" max="5" width="1.83203125" customWidth="1"/>
    <col min="6" max="6" width="5.83203125" customWidth="1"/>
    <col min="7" max="10" width="6.83203125" customWidth="1"/>
    <col min="11" max="11" width="36.6640625" bestFit="1" customWidth="1"/>
    <col min="12" max="12" width="8.83203125"/>
    <col min="13" max="13" width="10" customWidth="1"/>
    <col min="14" max="14" width="11.83203125" customWidth="1"/>
  </cols>
  <sheetData>
    <row r="1" spans="1:14" x14ac:dyDescent="0.2">
      <c r="B1" s="596" t="s">
        <v>100</v>
      </c>
      <c r="C1" s="596"/>
      <c r="D1" s="174"/>
      <c r="E1" s="174"/>
      <c r="F1" s="174"/>
      <c r="G1" s="596" t="s">
        <v>101</v>
      </c>
      <c r="H1" s="596"/>
      <c r="I1" s="175" t="s">
        <v>102</v>
      </c>
      <c r="J1" s="175" t="s">
        <v>6</v>
      </c>
      <c r="K1" s="173" t="s">
        <v>103</v>
      </c>
      <c r="L1" s="175" t="s">
        <v>104</v>
      </c>
      <c r="M1" s="173" t="s">
        <v>105</v>
      </c>
      <c r="N1" s="173" t="s">
        <v>106</v>
      </c>
    </row>
    <row r="2" spans="1:14" x14ac:dyDescent="0.2">
      <c r="A2" s="176" t="s">
        <v>169</v>
      </c>
      <c r="B2" s="590"/>
      <c r="C2" s="590"/>
      <c r="D2" s="590"/>
      <c r="E2" s="590"/>
      <c r="F2" s="590"/>
      <c r="G2" s="590"/>
      <c r="H2" s="590"/>
      <c r="I2" s="590"/>
      <c r="J2" s="590"/>
      <c r="K2" s="590"/>
      <c r="L2" s="590"/>
      <c r="M2" s="590"/>
      <c r="N2" s="590"/>
    </row>
    <row r="3" spans="1:14" x14ac:dyDescent="0.2">
      <c r="A3" s="178"/>
      <c r="B3" s="591" t="s">
        <v>49</v>
      </c>
      <c r="C3" s="592"/>
      <c r="D3" s="178">
        <v>18</v>
      </c>
      <c r="E3" s="177"/>
      <c r="F3" s="179">
        <v>6</v>
      </c>
      <c r="G3" s="591" t="s">
        <v>53</v>
      </c>
      <c r="H3" s="592"/>
      <c r="I3" s="180" t="s">
        <v>229</v>
      </c>
      <c r="J3" s="181" t="s">
        <v>219</v>
      </c>
      <c r="K3" s="178" t="s">
        <v>108</v>
      </c>
      <c r="L3" s="352">
        <v>6</v>
      </c>
      <c r="M3" s="182">
        <f>SUM(D3+F3)-L3</f>
        <v>18</v>
      </c>
      <c r="N3" s="353">
        <f>D3+F3</f>
        <v>24</v>
      </c>
    </row>
    <row r="4" spans="1:14" x14ac:dyDescent="0.2">
      <c r="A4" s="178"/>
      <c r="B4" s="591" t="s">
        <v>61</v>
      </c>
      <c r="C4" s="592"/>
      <c r="D4" s="178">
        <v>22</v>
      </c>
      <c r="E4" s="177"/>
      <c r="F4" s="179">
        <v>15</v>
      </c>
      <c r="G4" s="591" t="s">
        <v>55</v>
      </c>
      <c r="H4" s="592"/>
      <c r="I4" t="s">
        <v>230</v>
      </c>
      <c r="J4" s="183" t="s">
        <v>231</v>
      </c>
      <c r="K4" s="178" t="s">
        <v>109</v>
      </c>
      <c r="L4" s="181">
        <v>18</v>
      </c>
      <c r="M4" s="182">
        <f t="shared" ref="M4:M8" si="0">SUM(D4+F4)-L4</f>
        <v>19</v>
      </c>
      <c r="N4" s="182">
        <f t="shared" ref="N4:N8" si="1">D4+F4</f>
        <v>37</v>
      </c>
    </row>
    <row r="5" spans="1:14" x14ac:dyDescent="0.2">
      <c r="A5" s="178"/>
      <c r="B5" s="591" t="s">
        <v>60</v>
      </c>
      <c r="C5" s="592"/>
      <c r="D5" s="178">
        <v>25</v>
      </c>
      <c r="E5" s="177"/>
      <c r="F5" s="179">
        <v>19</v>
      </c>
      <c r="G5" s="591" t="s">
        <v>66</v>
      </c>
      <c r="H5" s="592"/>
      <c r="I5" t="s">
        <v>230</v>
      </c>
      <c r="J5" s="181" t="s">
        <v>232</v>
      </c>
      <c r="K5" s="178" t="s">
        <v>110</v>
      </c>
      <c r="L5" s="181">
        <v>21</v>
      </c>
      <c r="M5" s="182">
        <f t="shared" si="0"/>
        <v>23</v>
      </c>
      <c r="N5" s="182">
        <f t="shared" si="1"/>
        <v>44</v>
      </c>
    </row>
    <row r="6" spans="1:14" x14ac:dyDescent="0.2">
      <c r="A6" s="178"/>
      <c r="B6" s="591" t="s">
        <v>52</v>
      </c>
      <c r="C6" s="591"/>
      <c r="D6" s="178">
        <v>19</v>
      </c>
      <c r="E6" s="177"/>
      <c r="F6" s="179">
        <v>23</v>
      </c>
      <c r="G6" s="591" t="s">
        <v>57</v>
      </c>
      <c r="H6" s="591"/>
      <c r="I6" s="178" t="s">
        <v>233</v>
      </c>
      <c r="J6" s="182" t="s">
        <v>234</v>
      </c>
      <c r="K6" s="178" t="s">
        <v>111</v>
      </c>
      <c r="L6" s="181">
        <v>29</v>
      </c>
      <c r="M6" s="353">
        <f t="shared" si="0"/>
        <v>13</v>
      </c>
      <c r="N6" s="182">
        <f t="shared" si="1"/>
        <v>42</v>
      </c>
    </row>
    <row r="7" spans="1:14" x14ac:dyDescent="0.2">
      <c r="A7" s="178"/>
      <c r="B7" s="591" t="s">
        <v>83</v>
      </c>
      <c r="C7" s="591"/>
      <c r="D7" s="184">
        <v>13</v>
      </c>
      <c r="E7" s="177"/>
      <c r="F7" s="179">
        <v>46</v>
      </c>
      <c r="G7" s="591" t="s">
        <v>46</v>
      </c>
      <c r="H7" s="591"/>
      <c r="I7" s="178" t="s">
        <v>235</v>
      </c>
      <c r="J7" s="182" t="s">
        <v>236</v>
      </c>
      <c r="K7" s="178" t="s">
        <v>112</v>
      </c>
      <c r="L7" s="181">
        <v>32</v>
      </c>
      <c r="M7" s="355">
        <f t="shared" si="0"/>
        <v>27</v>
      </c>
      <c r="N7" s="182">
        <f t="shared" si="1"/>
        <v>59</v>
      </c>
    </row>
    <row r="8" spans="1:14" x14ac:dyDescent="0.2">
      <c r="A8" s="178"/>
      <c r="B8" s="591" t="s">
        <v>63</v>
      </c>
      <c r="C8" s="591"/>
      <c r="D8" s="178">
        <v>29</v>
      </c>
      <c r="E8" s="177"/>
      <c r="F8" s="179">
        <v>32</v>
      </c>
      <c r="G8" s="591" t="s">
        <v>51</v>
      </c>
      <c r="H8" s="591"/>
      <c r="I8" s="178" t="s">
        <v>237</v>
      </c>
      <c r="J8" s="182" t="s">
        <v>227</v>
      </c>
      <c r="K8" s="178" t="s">
        <v>113</v>
      </c>
      <c r="L8" s="354">
        <v>43</v>
      </c>
      <c r="M8" s="182">
        <f t="shared" si="0"/>
        <v>18</v>
      </c>
      <c r="N8" s="355">
        <f t="shared" si="1"/>
        <v>61</v>
      </c>
    </row>
    <row r="9" spans="1:14" x14ac:dyDescent="0.2">
      <c r="A9" s="176" t="s">
        <v>170</v>
      </c>
      <c r="B9" s="590"/>
      <c r="C9" s="590"/>
      <c r="D9" s="590"/>
      <c r="E9" s="590"/>
      <c r="F9" s="590"/>
      <c r="G9" s="590"/>
      <c r="H9" s="590"/>
      <c r="I9" s="590"/>
      <c r="J9" s="590"/>
      <c r="K9" s="590"/>
      <c r="L9" s="590"/>
      <c r="M9" s="590"/>
      <c r="N9" s="590"/>
    </row>
    <row r="10" spans="1:14" x14ac:dyDescent="0.2">
      <c r="A10" s="178"/>
      <c r="B10" s="591" t="s">
        <v>46</v>
      </c>
      <c r="C10" s="591"/>
      <c r="D10" s="178">
        <v>34</v>
      </c>
      <c r="E10" s="177"/>
      <c r="F10" s="179">
        <v>35</v>
      </c>
      <c r="G10" s="591" t="s">
        <v>53</v>
      </c>
      <c r="H10" s="591"/>
      <c r="I10" s="178" t="s">
        <v>237</v>
      </c>
      <c r="J10" s="182" t="s">
        <v>240</v>
      </c>
      <c r="K10" s="178" t="s">
        <v>114</v>
      </c>
      <c r="L10" s="354">
        <v>38</v>
      </c>
      <c r="M10" s="355">
        <f>SUM(D10+F10)-L10</f>
        <v>31</v>
      </c>
      <c r="N10" s="355">
        <f>D10+F10</f>
        <v>69</v>
      </c>
    </row>
    <row r="11" spans="1:14" x14ac:dyDescent="0.2">
      <c r="A11" s="178"/>
      <c r="B11" s="591" t="s">
        <v>49</v>
      </c>
      <c r="C11" s="591"/>
      <c r="D11" s="178">
        <v>34</v>
      </c>
      <c r="E11" s="177"/>
      <c r="F11" s="179">
        <v>19</v>
      </c>
      <c r="G11" s="591" t="s">
        <v>83</v>
      </c>
      <c r="H11" s="591"/>
      <c r="I11" s="178" t="s">
        <v>264</v>
      </c>
      <c r="J11" s="182" t="s">
        <v>244</v>
      </c>
      <c r="K11" s="178" t="s">
        <v>108</v>
      </c>
      <c r="L11" s="181">
        <v>24</v>
      </c>
      <c r="M11" s="182">
        <f t="shared" ref="M11:M15" si="2">SUM(D11+F11)-L11</f>
        <v>29</v>
      </c>
      <c r="N11" s="182">
        <f t="shared" ref="N11:N15" si="3">D11+F11</f>
        <v>53</v>
      </c>
    </row>
    <row r="12" spans="1:14" x14ac:dyDescent="0.2">
      <c r="A12" s="178"/>
      <c r="B12" s="591" t="s">
        <v>55</v>
      </c>
      <c r="C12" s="591"/>
      <c r="D12" s="178">
        <v>29</v>
      </c>
      <c r="E12" s="177"/>
      <c r="F12" s="179">
        <v>15</v>
      </c>
      <c r="G12" s="591" t="s">
        <v>57</v>
      </c>
      <c r="H12" s="591"/>
      <c r="I12" s="178" t="s">
        <v>264</v>
      </c>
      <c r="J12" s="185" t="s">
        <v>265</v>
      </c>
      <c r="K12" s="178" t="s">
        <v>115</v>
      </c>
      <c r="L12" s="181">
        <v>24</v>
      </c>
      <c r="M12" s="182">
        <f t="shared" si="2"/>
        <v>20</v>
      </c>
      <c r="N12" s="182">
        <f t="shared" si="3"/>
        <v>44</v>
      </c>
    </row>
    <row r="13" spans="1:14" x14ac:dyDescent="0.2">
      <c r="A13" s="178"/>
      <c r="B13" s="591" t="s">
        <v>60</v>
      </c>
      <c r="C13" s="591"/>
      <c r="D13" s="178">
        <v>29</v>
      </c>
      <c r="E13" s="177"/>
      <c r="F13" s="179">
        <v>18</v>
      </c>
      <c r="G13" s="591" t="s">
        <v>52</v>
      </c>
      <c r="H13" s="591"/>
      <c r="I13" s="178" t="s">
        <v>229</v>
      </c>
      <c r="J13" s="185" t="s">
        <v>266</v>
      </c>
      <c r="K13" s="178" t="s">
        <v>110</v>
      </c>
      <c r="L13" s="352">
        <v>22</v>
      </c>
      <c r="M13" s="182">
        <f t="shared" si="2"/>
        <v>25</v>
      </c>
      <c r="N13" s="182">
        <f t="shared" si="3"/>
        <v>47</v>
      </c>
    </row>
    <row r="14" spans="1:14" x14ac:dyDescent="0.2">
      <c r="A14" s="178"/>
      <c r="B14" s="591" t="s">
        <v>51</v>
      </c>
      <c r="C14" s="591"/>
      <c r="D14" s="178">
        <v>23</v>
      </c>
      <c r="E14" s="177"/>
      <c r="F14" s="179">
        <v>30</v>
      </c>
      <c r="G14" s="591" t="s">
        <v>66</v>
      </c>
      <c r="H14" s="591"/>
      <c r="I14" s="178" t="s">
        <v>267</v>
      </c>
      <c r="J14" s="185" t="s">
        <v>268</v>
      </c>
      <c r="K14" s="178" t="s">
        <v>116</v>
      </c>
      <c r="L14" s="181">
        <v>24</v>
      </c>
      <c r="M14" s="182">
        <f t="shared" si="2"/>
        <v>29</v>
      </c>
      <c r="N14" s="182">
        <f t="shared" si="3"/>
        <v>53</v>
      </c>
    </row>
    <row r="15" spans="1:14" x14ac:dyDescent="0.2">
      <c r="A15" s="178"/>
      <c r="B15" s="591" t="s">
        <v>63</v>
      </c>
      <c r="C15" s="591"/>
      <c r="D15" s="178">
        <v>12</v>
      </c>
      <c r="E15" s="177"/>
      <c r="F15" s="179">
        <v>27</v>
      </c>
      <c r="G15" s="591" t="s">
        <v>61</v>
      </c>
      <c r="H15" s="591"/>
      <c r="I15" s="178" t="s">
        <v>269</v>
      </c>
      <c r="J15" s="186" t="s">
        <v>270</v>
      </c>
      <c r="K15" s="178" t="s">
        <v>113</v>
      </c>
      <c r="L15" s="181">
        <v>26</v>
      </c>
      <c r="M15" s="353">
        <f t="shared" si="2"/>
        <v>13</v>
      </c>
      <c r="N15" s="353">
        <f t="shared" si="3"/>
        <v>39</v>
      </c>
    </row>
    <row r="16" spans="1:14" x14ac:dyDescent="0.2">
      <c r="A16" s="176" t="s">
        <v>171</v>
      </c>
      <c r="B16" s="590"/>
      <c r="C16" s="590"/>
      <c r="D16" s="590"/>
      <c r="E16" s="590"/>
      <c r="F16" s="590"/>
      <c r="G16" s="590"/>
      <c r="H16" s="590"/>
      <c r="I16" s="590"/>
      <c r="J16" s="590"/>
      <c r="K16" s="590"/>
      <c r="L16" s="590"/>
      <c r="M16" s="590"/>
      <c r="N16" s="590"/>
    </row>
    <row r="17" spans="1:14" x14ac:dyDescent="0.2">
      <c r="A17" s="178"/>
      <c r="B17" s="591" t="s">
        <v>46</v>
      </c>
      <c r="C17" s="591"/>
      <c r="D17" s="178">
        <v>27</v>
      </c>
      <c r="E17" s="177"/>
      <c r="F17" s="179">
        <v>21</v>
      </c>
      <c r="G17" s="591" t="s">
        <v>49</v>
      </c>
      <c r="H17" s="591"/>
      <c r="I17" s="178" t="s">
        <v>230</v>
      </c>
      <c r="J17" s="185" t="s">
        <v>285</v>
      </c>
      <c r="K17" s="178" t="s">
        <v>114</v>
      </c>
      <c r="L17" s="181">
        <v>21</v>
      </c>
      <c r="M17" s="181">
        <f>SUM(D17+F17)-L17</f>
        <v>27</v>
      </c>
      <c r="N17" s="182">
        <f>D17+F17</f>
        <v>48</v>
      </c>
    </row>
    <row r="18" spans="1:14" x14ac:dyDescent="0.2">
      <c r="A18" s="178"/>
      <c r="B18" s="591" t="s">
        <v>53</v>
      </c>
      <c r="C18" s="591"/>
      <c r="D18" s="178">
        <v>22</v>
      </c>
      <c r="E18" s="177"/>
      <c r="F18" s="179">
        <v>22</v>
      </c>
      <c r="G18" s="591" t="s">
        <v>57</v>
      </c>
      <c r="H18" s="591"/>
      <c r="I18" s="178" t="s">
        <v>286</v>
      </c>
      <c r="J18" s="185" t="s">
        <v>265</v>
      </c>
      <c r="K18" s="178" t="s">
        <v>117</v>
      </c>
      <c r="L18" s="181">
        <v>24</v>
      </c>
      <c r="M18" s="181">
        <f t="shared" ref="M18:M22" si="4">SUM(D18+F18)-L18</f>
        <v>20</v>
      </c>
      <c r="N18" s="182">
        <f t="shared" ref="N18:N22" si="5">D18+F18</f>
        <v>44</v>
      </c>
    </row>
    <row r="19" spans="1:14" x14ac:dyDescent="0.2">
      <c r="A19" s="178"/>
      <c r="B19" s="591" t="s">
        <v>61</v>
      </c>
      <c r="C19" s="591"/>
      <c r="D19" s="178">
        <v>30</v>
      </c>
      <c r="E19" s="177"/>
      <c r="F19" s="179">
        <v>19</v>
      </c>
      <c r="G19" s="591" t="s">
        <v>52</v>
      </c>
      <c r="H19" s="591"/>
      <c r="I19" s="178" t="s">
        <v>264</v>
      </c>
      <c r="J19" s="185" t="s">
        <v>287</v>
      </c>
      <c r="K19" s="178" t="s">
        <v>109</v>
      </c>
      <c r="L19" s="181">
        <v>27</v>
      </c>
      <c r="M19" s="181">
        <f t="shared" si="4"/>
        <v>22</v>
      </c>
      <c r="N19" s="182">
        <f t="shared" si="5"/>
        <v>49</v>
      </c>
    </row>
    <row r="20" spans="1:14" x14ac:dyDescent="0.2">
      <c r="A20" s="178"/>
      <c r="B20" s="591" t="s">
        <v>55</v>
      </c>
      <c r="C20" s="591"/>
      <c r="D20" s="184">
        <v>13</v>
      </c>
      <c r="E20" s="177"/>
      <c r="F20" s="179">
        <v>23</v>
      </c>
      <c r="G20" s="591" t="s">
        <v>60</v>
      </c>
      <c r="H20" s="591"/>
      <c r="I20" s="178" t="s">
        <v>269</v>
      </c>
      <c r="J20" s="185" t="s">
        <v>288</v>
      </c>
      <c r="K20" s="178" t="s">
        <v>115</v>
      </c>
      <c r="L20" s="181">
        <v>26</v>
      </c>
      <c r="M20" s="352">
        <f t="shared" si="4"/>
        <v>10</v>
      </c>
      <c r="N20" s="353">
        <f t="shared" si="5"/>
        <v>36</v>
      </c>
    </row>
    <row r="21" spans="1:14" x14ac:dyDescent="0.2">
      <c r="A21" s="178"/>
      <c r="B21" s="591" t="s">
        <v>66</v>
      </c>
      <c r="C21" s="591"/>
      <c r="D21" s="178">
        <v>19</v>
      </c>
      <c r="E21" s="177"/>
      <c r="F21" s="179">
        <v>18</v>
      </c>
      <c r="G21" s="591" t="s">
        <v>63</v>
      </c>
      <c r="H21" s="591"/>
      <c r="I21" s="178" t="s">
        <v>230</v>
      </c>
      <c r="J21" s="185" t="s">
        <v>289</v>
      </c>
      <c r="K21" s="178" t="s">
        <v>118</v>
      </c>
      <c r="L21" s="352">
        <v>15</v>
      </c>
      <c r="M21" s="181">
        <f t="shared" si="4"/>
        <v>22</v>
      </c>
      <c r="N21" s="182">
        <f t="shared" si="5"/>
        <v>37</v>
      </c>
    </row>
    <row r="22" spans="1:14" x14ac:dyDescent="0.2">
      <c r="A22" s="178"/>
      <c r="B22" s="591" t="s">
        <v>83</v>
      </c>
      <c r="C22" s="591"/>
      <c r="D22" s="184">
        <v>28</v>
      </c>
      <c r="E22" s="177"/>
      <c r="F22" s="179">
        <v>68</v>
      </c>
      <c r="G22" s="591" t="s">
        <v>51</v>
      </c>
      <c r="H22" s="591"/>
      <c r="I22" s="178" t="s">
        <v>267</v>
      </c>
      <c r="J22" s="185" t="s">
        <v>292</v>
      </c>
      <c r="K22" s="178" t="s">
        <v>112</v>
      </c>
      <c r="L22" s="354">
        <v>40</v>
      </c>
      <c r="M22" s="354">
        <f t="shared" si="4"/>
        <v>56</v>
      </c>
      <c r="N22" s="355">
        <f t="shared" si="5"/>
        <v>96</v>
      </c>
    </row>
    <row r="23" spans="1:14" x14ac:dyDescent="0.2">
      <c r="A23" s="176" t="s">
        <v>172</v>
      </c>
      <c r="B23" s="590"/>
      <c r="C23" s="590"/>
      <c r="D23" s="590"/>
      <c r="E23" s="590"/>
      <c r="F23" s="590"/>
      <c r="G23" s="590"/>
      <c r="H23" s="590"/>
      <c r="I23" s="590"/>
      <c r="J23" s="590"/>
      <c r="K23" s="590"/>
      <c r="L23" s="590"/>
      <c r="M23" s="590"/>
      <c r="N23" s="590"/>
    </row>
    <row r="24" spans="1:14" x14ac:dyDescent="0.2">
      <c r="A24" s="178"/>
      <c r="B24" s="591" t="s">
        <v>60</v>
      </c>
      <c r="C24" s="591"/>
      <c r="D24" s="184">
        <v>40</v>
      </c>
      <c r="E24" s="177"/>
      <c r="F24" s="179">
        <v>42</v>
      </c>
      <c r="G24" s="591" t="s">
        <v>61</v>
      </c>
      <c r="H24" s="591"/>
      <c r="I24" s="178" t="s">
        <v>237</v>
      </c>
      <c r="J24" s="185" t="s">
        <v>310</v>
      </c>
      <c r="K24" s="178" t="s">
        <v>110</v>
      </c>
      <c r="L24" s="181">
        <v>31</v>
      </c>
      <c r="M24" s="354">
        <f>SUM(D24+F24)-L24</f>
        <v>51</v>
      </c>
      <c r="N24" s="354">
        <f>D24+F24</f>
        <v>82</v>
      </c>
    </row>
    <row r="25" spans="1:14" x14ac:dyDescent="0.2">
      <c r="A25" s="178"/>
      <c r="B25" s="591" t="s">
        <v>53</v>
      </c>
      <c r="C25" s="591"/>
      <c r="D25" s="184">
        <v>11</v>
      </c>
      <c r="E25" s="177"/>
      <c r="F25" s="179">
        <v>27</v>
      </c>
      <c r="G25" s="591" t="s">
        <v>66</v>
      </c>
      <c r="H25" s="591"/>
      <c r="I25" s="178" t="s">
        <v>235</v>
      </c>
      <c r="J25" s="186" t="s">
        <v>311</v>
      </c>
      <c r="K25" s="178" t="s">
        <v>117</v>
      </c>
      <c r="L25" s="353">
        <v>18</v>
      </c>
      <c r="M25" s="181">
        <f t="shared" ref="M25:M29" si="6">SUM(D25+F25)-L25</f>
        <v>20</v>
      </c>
      <c r="N25" s="352">
        <f t="shared" ref="N25:N29" si="7">D25+F25</f>
        <v>38</v>
      </c>
    </row>
    <row r="26" spans="1:14" x14ac:dyDescent="0.2">
      <c r="A26" s="178"/>
      <c r="B26" s="591" t="s">
        <v>52</v>
      </c>
      <c r="C26" s="591"/>
      <c r="D26" s="184">
        <v>50</v>
      </c>
      <c r="E26" s="177"/>
      <c r="F26" s="179">
        <v>21</v>
      </c>
      <c r="G26" s="591" t="s">
        <v>83</v>
      </c>
      <c r="H26" s="591"/>
      <c r="I26" s="178" t="s">
        <v>264</v>
      </c>
      <c r="J26" s="185" t="s">
        <v>302</v>
      </c>
      <c r="K26" s="178" t="s">
        <v>111</v>
      </c>
      <c r="L26" s="354">
        <v>50</v>
      </c>
      <c r="M26" s="181">
        <f t="shared" si="6"/>
        <v>21</v>
      </c>
      <c r="N26" s="181">
        <f t="shared" si="7"/>
        <v>71</v>
      </c>
    </row>
    <row r="27" spans="1:14" x14ac:dyDescent="0.2">
      <c r="A27" s="178"/>
      <c r="B27" s="591" t="s">
        <v>51</v>
      </c>
      <c r="C27" s="591"/>
      <c r="D27" s="184">
        <v>22</v>
      </c>
      <c r="E27" s="177"/>
      <c r="F27" s="179">
        <v>35</v>
      </c>
      <c r="G27" s="591" t="s">
        <v>49</v>
      </c>
      <c r="H27" s="591"/>
      <c r="I27" s="178" t="s">
        <v>235</v>
      </c>
      <c r="J27" s="185" t="s">
        <v>304</v>
      </c>
      <c r="K27" s="178" t="s">
        <v>116</v>
      </c>
      <c r="L27" s="181">
        <v>47</v>
      </c>
      <c r="M27" s="353">
        <f t="shared" si="6"/>
        <v>10</v>
      </c>
      <c r="N27" s="181">
        <f t="shared" si="7"/>
        <v>57</v>
      </c>
    </row>
    <row r="28" spans="1:14" x14ac:dyDescent="0.2">
      <c r="A28" s="178"/>
      <c r="B28" s="591" t="s">
        <v>57</v>
      </c>
      <c r="C28" s="591"/>
      <c r="D28" s="184">
        <v>17</v>
      </c>
      <c r="E28" s="177"/>
      <c r="F28" s="179">
        <v>22</v>
      </c>
      <c r="G28" s="591" t="s">
        <v>46</v>
      </c>
      <c r="H28" s="591"/>
      <c r="I28" s="178" t="s">
        <v>233</v>
      </c>
      <c r="J28" s="185" t="s">
        <v>312</v>
      </c>
      <c r="K28" s="178" t="s">
        <v>119</v>
      </c>
      <c r="L28" s="181">
        <v>19</v>
      </c>
      <c r="M28" s="181">
        <f t="shared" si="6"/>
        <v>20</v>
      </c>
      <c r="N28" s="181">
        <f t="shared" si="7"/>
        <v>39</v>
      </c>
    </row>
    <row r="29" spans="1:14" x14ac:dyDescent="0.2">
      <c r="A29" s="178"/>
      <c r="B29" s="591" t="s">
        <v>63</v>
      </c>
      <c r="C29" s="591"/>
      <c r="D29" s="184">
        <v>36</v>
      </c>
      <c r="E29" s="177"/>
      <c r="F29" s="179">
        <v>32</v>
      </c>
      <c r="G29" s="591" t="s">
        <v>55</v>
      </c>
      <c r="H29" s="591"/>
      <c r="I29" s="178" t="s">
        <v>313</v>
      </c>
      <c r="J29" s="185" t="s">
        <v>308</v>
      </c>
      <c r="K29" s="178" t="s">
        <v>113</v>
      </c>
      <c r="L29" s="181">
        <v>30</v>
      </c>
      <c r="M29" s="181">
        <f t="shared" si="6"/>
        <v>38</v>
      </c>
      <c r="N29" s="181">
        <f t="shared" si="7"/>
        <v>68</v>
      </c>
    </row>
    <row r="30" spans="1:14" x14ac:dyDescent="0.2">
      <c r="A30" s="176" t="s">
        <v>173</v>
      </c>
      <c r="B30" s="590"/>
      <c r="C30" s="590"/>
      <c r="D30" s="590"/>
      <c r="E30" s="590"/>
      <c r="F30" s="590"/>
      <c r="G30" s="590"/>
      <c r="H30" s="590"/>
      <c r="I30" s="590"/>
      <c r="J30" s="590"/>
      <c r="K30" s="590"/>
      <c r="L30" s="590"/>
      <c r="M30" s="590"/>
      <c r="N30" s="590"/>
    </row>
    <row r="31" spans="1:14" x14ac:dyDescent="0.2">
      <c r="A31" s="178"/>
      <c r="B31" s="591" t="s">
        <v>51</v>
      </c>
      <c r="C31" s="591"/>
      <c r="D31" s="184">
        <v>27</v>
      </c>
      <c r="E31" s="177"/>
      <c r="F31" s="179">
        <v>30</v>
      </c>
      <c r="G31" s="591" t="s">
        <v>61</v>
      </c>
      <c r="H31" s="591"/>
      <c r="I31" s="178" t="s">
        <v>237</v>
      </c>
      <c r="J31" s="186" t="s">
        <v>314</v>
      </c>
      <c r="K31" s="178" t="s">
        <v>116</v>
      </c>
      <c r="L31" s="181">
        <v>29</v>
      </c>
      <c r="M31" s="181">
        <f>SUM(D31+F31)-L31</f>
        <v>28</v>
      </c>
      <c r="N31" s="181">
        <f>D31+F31</f>
        <v>57</v>
      </c>
    </row>
    <row r="32" spans="1:14" x14ac:dyDescent="0.2">
      <c r="A32" s="178"/>
      <c r="B32" s="591" t="s">
        <v>57</v>
      </c>
      <c r="C32" s="591"/>
      <c r="D32" s="184">
        <v>26</v>
      </c>
      <c r="E32" s="177"/>
      <c r="F32" s="179">
        <v>34</v>
      </c>
      <c r="G32" s="591" t="s">
        <v>60</v>
      </c>
      <c r="H32" s="591"/>
      <c r="I32" s="178" t="s">
        <v>267</v>
      </c>
      <c r="J32" s="185" t="s">
        <v>324</v>
      </c>
      <c r="K32" s="178" t="s">
        <v>119</v>
      </c>
      <c r="L32" s="354">
        <v>38</v>
      </c>
      <c r="M32" s="352">
        <f t="shared" ref="M32:M34" si="8">SUM(D32+F32)-L32</f>
        <v>22</v>
      </c>
      <c r="N32" s="181">
        <f t="shared" ref="N32:N34" si="9">D32+F32</f>
        <v>60</v>
      </c>
    </row>
    <row r="33" spans="1:14" x14ac:dyDescent="0.2">
      <c r="A33" s="178"/>
      <c r="B33" s="591" t="s">
        <v>83</v>
      </c>
      <c r="C33" s="591"/>
      <c r="D33" s="184">
        <v>32</v>
      </c>
      <c r="E33" s="177"/>
      <c r="F33" s="179">
        <v>46</v>
      </c>
      <c r="G33" s="591" t="s">
        <v>53</v>
      </c>
      <c r="H33" s="591"/>
      <c r="I33" s="178" t="s">
        <v>267</v>
      </c>
      <c r="J33" s="186" t="s">
        <v>317</v>
      </c>
      <c r="K33" s="178" t="s">
        <v>112</v>
      </c>
      <c r="L33" s="181">
        <v>37</v>
      </c>
      <c r="M33" s="354">
        <f t="shared" si="8"/>
        <v>41</v>
      </c>
      <c r="N33" s="354">
        <f t="shared" si="9"/>
        <v>78</v>
      </c>
    </row>
    <row r="34" spans="1:14" x14ac:dyDescent="0.2">
      <c r="A34" s="178"/>
      <c r="B34" s="591" t="s">
        <v>52</v>
      </c>
      <c r="C34" s="591"/>
      <c r="D34" s="184">
        <v>21</v>
      </c>
      <c r="E34" s="177"/>
      <c r="F34" s="179">
        <v>22</v>
      </c>
      <c r="G34" s="591" t="s">
        <v>66</v>
      </c>
      <c r="H34" s="591"/>
      <c r="I34" s="178" t="s">
        <v>233</v>
      </c>
      <c r="J34" s="182" t="s">
        <v>325</v>
      </c>
      <c r="K34" s="178" t="s">
        <v>111</v>
      </c>
      <c r="L34" s="352">
        <v>21</v>
      </c>
      <c r="M34" s="352">
        <f t="shared" si="8"/>
        <v>22</v>
      </c>
      <c r="N34" s="352">
        <f t="shared" si="9"/>
        <v>43</v>
      </c>
    </row>
    <row r="35" spans="1:14" x14ac:dyDescent="0.2">
      <c r="A35" s="176" t="s">
        <v>174</v>
      </c>
      <c r="B35" s="590"/>
      <c r="C35" s="590"/>
      <c r="D35" s="590"/>
      <c r="E35" s="590"/>
      <c r="F35" s="590"/>
      <c r="G35" s="590"/>
      <c r="H35" s="590"/>
      <c r="I35" s="590"/>
      <c r="J35" s="590"/>
      <c r="K35" s="590"/>
      <c r="L35" s="590"/>
      <c r="M35" s="590"/>
      <c r="N35" s="590"/>
    </row>
    <row r="36" spans="1:14" x14ac:dyDescent="0.2">
      <c r="A36" s="178"/>
      <c r="B36" s="591" t="s">
        <v>55</v>
      </c>
      <c r="C36" s="591"/>
      <c r="D36" s="184">
        <v>44</v>
      </c>
      <c r="E36" s="177"/>
      <c r="F36" s="179">
        <v>19</v>
      </c>
      <c r="G36" s="591" t="s">
        <v>83</v>
      </c>
      <c r="H36" s="591"/>
      <c r="I36" s="178" t="s">
        <v>264</v>
      </c>
      <c r="J36" s="182" t="s">
        <v>327</v>
      </c>
      <c r="K36" s="178" t="s">
        <v>115</v>
      </c>
      <c r="L36" s="181">
        <v>34</v>
      </c>
      <c r="M36" s="181">
        <f>SUM(D36+F36)-L36</f>
        <v>29</v>
      </c>
      <c r="N36" s="181">
        <f>D36+F36</f>
        <v>63</v>
      </c>
    </row>
    <row r="37" spans="1:14" x14ac:dyDescent="0.2">
      <c r="A37" s="178"/>
      <c r="B37" s="591" t="s">
        <v>60</v>
      </c>
      <c r="C37" s="591"/>
      <c r="D37" s="184">
        <v>34</v>
      </c>
      <c r="E37" s="177"/>
      <c r="F37" s="179">
        <v>32</v>
      </c>
      <c r="G37" s="591" t="s">
        <v>51</v>
      </c>
      <c r="H37" s="591"/>
      <c r="I37" s="178" t="s">
        <v>313</v>
      </c>
      <c r="J37" s="182" t="s">
        <v>318</v>
      </c>
      <c r="K37" s="178" t="s">
        <v>110</v>
      </c>
      <c r="L37" s="354">
        <v>37</v>
      </c>
      <c r="M37" s="181">
        <f t="shared" ref="M37:M40" si="10">SUM(D37+F37)-L37</f>
        <v>29</v>
      </c>
      <c r="N37" s="354">
        <f t="shared" ref="N37:N40" si="11">D37+F37</f>
        <v>66</v>
      </c>
    </row>
    <row r="38" spans="1:14" x14ac:dyDescent="0.2">
      <c r="A38" s="178"/>
      <c r="B38" s="591" t="s">
        <v>49</v>
      </c>
      <c r="C38" s="591"/>
      <c r="D38" s="184">
        <v>21</v>
      </c>
      <c r="E38" s="177"/>
      <c r="F38" s="179">
        <v>38</v>
      </c>
      <c r="G38" s="591" t="s">
        <v>57</v>
      </c>
      <c r="H38" s="591"/>
      <c r="I38" s="178" t="s">
        <v>235</v>
      </c>
      <c r="J38" s="182" t="s">
        <v>329</v>
      </c>
      <c r="K38" s="178" t="s">
        <v>108</v>
      </c>
      <c r="L38" s="181">
        <v>19</v>
      </c>
      <c r="M38" s="354">
        <f t="shared" si="10"/>
        <v>40</v>
      </c>
      <c r="N38" s="181">
        <f t="shared" si="11"/>
        <v>59</v>
      </c>
    </row>
    <row r="39" spans="1:14" x14ac:dyDescent="0.2">
      <c r="A39" s="178"/>
      <c r="B39" s="591" t="s">
        <v>53</v>
      </c>
      <c r="C39" s="591"/>
      <c r="D39" s="184">
        <v>22</v>
      </c>
      <c r="E39" s="177"/>
      <c r="F39" s="179">
        <v>22</v>
      </c>
      <c r="G39" s="591" t="s">
        <v>63</v>
      </c>
      <c r="H39" s="591"/>
      <c r="I39" s="178" t="s">
        <v>330</v>
      </c>
      <c r="J39" s="182" t="s">
        <v>265</v>
      </c>
      <c r="K39" s="178" t="s">
        <v>117</v>
      </c>
      <c r="L39" s="181">
        <v>24</v>
      </c>
      <c r="M39" s="181">
        <f t="shared" si="10"/>
        <v>20</v>
      </c>
      <c r="N39" s="181">
        <f t="shared" si="11"/>
        <v>44</v>
      </c>
    </row>
    <row r="40" spans="1:14" x14ac:dyDescent="0.2">
      <c r="A40" s="178"/>
      <c r="B40" s="591" t="s">
        <v>46</v>
      </c>
      <c r="C40" s="591"/>
      <c r="D40" s="184">
        <v>25</v>
      </c>
      <c r="E40" s="177"/>
      <c r="F40" s="179">
        <v>3</v>
      </c>
      <c r="G40" s="591" t="s">
        <v>52</v>
      </c>
      <c r="H40" s="591"/>
      <c r="I40" s="178" t="s">
        <v>229</v>
      </c>
      <c r="J40" s="182" t="s">
        <v>331</v>
      </c>
      <c r="K40" s="178" t="s">
        <v>114</v>
      </c>
      <c r="L40" s="352">
        <v>16</v>
      </c>
      <c r="M40" s="352">
        <f t="shared" si="10"/>
        <v>12</v>
      </c>
      <c r="N40" s="352">
        <f t="shared" si="11"/>
        <v>28</v>
      </c>
    </row>
    <row r="41" spans="1:14" x14ac:dyDescent="0.2">
      <c r="A41" s="176" t="s">
        <v>175</v>
      </c>
      <c r="B41" s="590"/>
      <c r="C41" s="590"/>
      <c r="D41" s="590"/>
      <c r="E41" s="590"/>
      <c r="F41" s="590"/>
      <c r="G41" s="590"/>
      <c r="H41" s="590"/>
      <c r="I41" s="590"/>
      <c r="J41" s="590"/>
      <c r="K41" s="590"/>
      <c r="L41" s="590"/>
      <c r="M41" s="590"/>
      <c r="N41" s="590"/>
    </row>
    <row r="42" spans="1:14" x14ac:dyDescent="0.2">
      <c r="A42" s="178"/>
      <c r="B42" s="591" t="s">
        <v>51</v>
      </c>
      <c r="C42" s="591"/>
      <c r="D42" s="184">
        <v>22</v>
      </c>
      <c r="E42" s="177"/>
      <c r="F42" s="179">
        <v>20</v>
      </c>
      <c r="G42" s="591" t="s">
        <v>55</v>
      </c>
      <c r="H42" s="591"/>
      <c r="I42" s="178" t="s">
        <v>230</v>
      </c>
      <c r="J42" s="185" t="s">
        <v>265</v>
      </c>
      <c r="K42" s="178" t="s">
        <v>116</v>
      </c>
      <c r="L42" s="181">
        <v>24</v>
      </c>
      <c r="M42" s="352">
        <f>SUM(D42+F42)-L42</f>
        <v>18</v>
      </c>
      <c r="N42" s="181">
        <f>D42+F42</f>
        <v>42</v>
      </c>
    </row>
    <row r="43" spans="1:14" x14ac:dyDescent="0.2">
      <c r="A43" s="178"/>
      <c r="B43" s="591" t="s">
        <v>61</v>
      </c>
      <c r="C43" s="591"/>
      <c r="D43" s="184">
        <v>35</v>
      </c>
      <c r="E43" s="177"/>
      <c r="F43" s="179">
        <v>47</v>
      </c>
      <c r="G43" s="591" t="s">
        <v>46</v>
      </c>
      <c r="H43" s="591"/>
      <c r="I43" s="178" t="s">
        <v>267</v>
      </c>
      <c r="J43" s="182" t="s">
        <v>338</v>
      </c>
      <c r="K43" s="178" t="s">
        <v>109</v>
      </c>
      <c r="L43" s="354">
        <v>46</v>
      </c>
      <c r="M43" s="354">
        <f t="shared" ref="M43:M46" si="12">SUM(D43+F43)-L43</f>
        <v>36</v>
      </c>
      <c r="N43" s="354">
        <f t="shared" ref="N43:N46" si="13">D43+F43</f>
        <v>82</v>
      </c>
    </row>
    <row r="44" spans="1:14" x14ac:dyDescent="0.2">
      <c r="A44" s="178"/>
      <c r="B44" s="591" t="s">
        <v>66</v>
      </c>
      <c r="C44" s="591"/>
      <c r="D44" s="184">
        <v>33</v>
      </c>
      <c r="E44" s="177"/>
      <c r="F44" s="179">
        <v>20</v>
      </c>
      <c r="G44" s="591" t="s">
        <v>49</v>
      </c>
      <c r="H44" s="591"/>
      <c r="I44" s="178" t="s">
        <v>264</v>
      </c>
      <c r="J44" s="182" t="s">
        <v>340</v>
      </c>
      <c r="K44" s="178" t="s">
        <v>118</v>
      </c>
      <c r="L44" s="352">
        <v>17</v>
      </c>
      <c r="M44" s="354">
        <f t="shared" si="12"/>
        <v>36</v>
      </c>
      <c r="N44" s="181">
        <f t="shared" si="13"/>
        <v>53</v>
      </c>
    </row>
    <row r="45" spans="1:14" x14ac:dyDescent="0.2">
      <c r="A45" s="178"/>
      <c r="B45" s="591" t="s">
        <v>57</v>
      </c>
      <c r="C45" s="591"/>
      <c r="D45" s="184">
        <v>59</v>
      </c>
      <c r="E45" s="177"/>
      <c r="F45" s="179">
        <v>20</v>
      </c>
      <c r="G45" s="591" t="s">
        <v>83</v>
      </c>
      <c r="H45" s="591"/>
      <c r="I45" s="178" t="s">
        <v>341</v>
      </c>
      <c r="J45" s="182" t="s">
        <v>342</v>
      </c>
      <c r="K45" s="178" t="s">
        <v>119</v>
      </c>
      <c r="L45" s="181">
        <v>43</v>
      </c>
      <c r="M45" s="354">
        <f t="shared" si="12"/>
        <v>36</v>
      </c>
      <c r="N45" s="181">
        <f t="shared" si="13"/>
        <v>79</v>
      </c>
    </row>
    <row r="46" spans="1:14" x14ac:dyDescent="0.2">
      <c r="A46" s="178"/>
      <c r="B46" s="591" t="s">
        <v>63</v>
      </c>
      <c r="C46" s="591"/>
      <c r="D46" s="184">
        <v>5</v>
      </c>
      <c r="E46" s="177"/>
      <c r="F46" s="179">
        <v>36</v>
      </c>
      <c r="G46" s="591" t="s">
        <v>60</v>
      </c>
      <c r="H46" s="591"/>
      <c r="I46" s="178" t="s">
        <v>235</v>
      </c>
      <c r="J46" s="186" t="s">
        <v>340</v>
      </c>
      <c r="K46" s="178" t="s">
        <v>113</v>
      </c>
      <c r="L46" s="352">
        <v>17</v>
      </c>
      <c r="M46" s="181">
        <f t="shared" si="12"/>
        <v>24</v>
      </c>
      <c r="N46" s="352">
        <f t="shared" si="13"/>
        <v>41</v>
      </c>
    </row>
    <row r="47" spans="1:14" x14ac:dyDescent="0.2">
      <c r="A47" s="176" t="s">
        <v>176</v>
      </c>
      <c r="B47" s="590"/>
      <c r="C47" s="590"/>
      <c r="D47" s="590"/>
      <c r="E47" s="590"/>
      <c r="F47" s="590"/>
      <c r="G47" s="590"/>
      <c r="H47" s="590"/>
      <c r="I47" s="590"/>
      <c r="J47" s="590"/>
      <c r="K47" s="593"/>
      <c r="L47" s="593"/>
      <c r="M47" s="593"/>
      <c r="N47" s="593"/>
    </row>
    <row r="48" spans="1:14" x14ac:dyDescent="0.2">
      <c r="A48" s="178"/>
      <c r="B48" s="591" t="s">
        <v>46</v>
      </c>
      <c r="C48" s="591"/>
      <c r="D48" s="184">
        <v>21</v>
      </c>
      <c r="E48" s="177"/>
      <c r="F48" s="179">
        <v>29</v>
      </c>
      <c r="G48" s="591" t="s">
        <v>60</v>
      </c>
      <c r="H48" s="591"/>
      <c r="I48" s="178" t="s">
        <v>269</v>
      </c>
      <c r="J48" s="185" t="s">
        <v>285</v>
      </c>
      <c r="K48" s="178" t="s">
        <v>114</v>
      </c>
      <c r="L48" s="352">
        <v>21</v>
      </c>
      <c r="M48" s="181">
        <f>SUM(D48+F48)-L48</f>
        <v>29</v>
      </c>
      <c r="N48" s="352">
        <f>D48+F48</f>
        <v>50</v>
      </c>
    </row>
    <row r="49" spans="1:14" x14ac:dyDescent="0.2">
      <c r="A49" s="178"/>
      <c r="B49" s="591" t="s">
        <v>49</v>
      </c>
      <c r="C49" s="591"/>
      <c r="D49" s="184">
        <v>27</v>
      </c>
      <c r="E49" s="177"/>
      <c r="F49" s="179">
        <v>42</v>
      </c>
      <c r="G49" s="591" t="s">
        <v>52</v>
      </c>
      <c r="H49" s="591"/>
      <c r="I49" s="178" t="s">
        <v>267</v>
      </c>
      <c r="J49" s="182" t="s">
        <v>347</v>
      </c>
      <c r="K49" s="178" t="s">
        <v>108</v>
      </c>
      <c r="L49" s="181">
        <v>37</v>
      </c>
      <c r="M49" s="181">
        <f t="shared" ref="M49:M52" si="14">SUM(D49+F49)-L49</f>
        <v>32</v>
      </c>
      <c r="N49" s="181">
        <f t="shared" ref="N49:N52" si="15">D49+F49</f>
        <v>69</v>
      </c>
    </row>
    <row r="50" spans="1:14" x14ac:dyDescent="0.2">
      <c r="A50" s="178"/>
      <c r="B50" s="591" t="s">
        <v>53</v>
      </c>
      <c r="C50" s="591"/>
      <c r="D50" s="184">
        <v>17</v>
      </c>
      <c r="E50" s="177"/>
      <c r="F50" s="179">
        <v>38</v>
      </c>
      <c r="G50" s="591" t="s">
        <v>61</v>
      </c>
      <c r="H50" s="591"/>
      <c r="I50" s="178" t="s">
        <v>235</v>
      </c>
      <c r="J50" s="186" t="s">
        <v>348</v>
      </c>
      <c r="K50" s="178" t="s">
        <v>117</v>
      </c>
      <c r="L50" s="354">
        <v>41</v>
      </c>
      <c r="M50" s="352">
        <f t="shared" si="14"/>
        <v>14</v>
      </c>
      <c r="N50" s="181">
        <f t="shared" si="15"/>
        <v>55</v>
      </c>
    </row>
    <row r="51" spans="1:14" x14ac:dyDescent="0.2">
      <c r="A51" s="178"/>
      <c r="B51" s="591" t="s">
        <v>66</v>
      </c>
      <c r="C51" s="591"/>
      <c r="D51" s="184">
        <v>32</v>
      </c>
      <c r="E51" s="177"/>
      <c r="F51" s="179">
        <v>33</v>
      </c>
      <c r="G51" s="591" t="s">
        <v>55</v>
      </c>
      <c r="H51" s="591"/>
      <c r="I51" s="178" t="s">
        <v>349</v>
      </c>
      <c r="J51" s="182" t="s">
        <v>350</v>
      </c>
      <c r="K51" s="178" t="s">
        <v>118</v>
      </c>
      <c r="L51" s="181">
        <v>27</v>
      </c>
      <c r="M51" s="181">
        <f t="shared" si="14"/>
        <v>38</v>
      </c>
      <c r="N51" s="181">
        <f t="shared" si="15"/>
        <v>65</v>
      </c>
    </row>
    <row r="52" spans="1:14" x14ac:dyDescent="0.2">
      <c r="A52" s="178"/>
      <c r="B52" s="591" t="s">
        <v>57</v>
      </c>
      <c r="C52" s="591"/>
      <c r="D52" s="184">
        <v>54</v>
      </c>
      <c r="E52" s="177"/>
      <c r="F52" s="179">
        <v>31</v>
      </c>
      <c r="G52" s="591" t="s">
        <v>63</v>
      </c>
      <c r="H52" s="591"/>
      <c r="I52" s="178" t="s">
        <v>341</v>
      </c>
      <c r="J52" s="182" t="s">
        <v>324</v>
      </c>
      <c r="K52" s="178" t="s">
        <v>119</v>
      </c>
      <c r="L52" s="181">
        <v>38</v>
      </c>
      <c r="M52" s="354">
        <f t="shared" si="14"/>
        <v>47</v>
      </c>
      <c r="N52" s="354">
        <f t="shared" si="15"/>
        <v>85</v>
      </c>
    </row>
    <row r="53" spans="1:14" x14ac:dyDescent="0.2">
      <c r="A53" s="176" t="s">
        <v>177</v>
      </c>
      <c r="B53" s="590"/>
      <c r="C53" s="590"/>
      <c r="D53" s="590"/>
      <c r="E53" s="590"/>
      <c r="F53" s="590"/>
      <c r="G53" s="590"/>
      <c r="H53" s="590"/>
      <c r="I53" s="590"/>
      <c r="J53" s="590"/>
      <c r="K53" s="593"/>
      <c r="L53" s="593"/>
      <c r="M53" s="593"/>
      <c r="N53" s="593"/>
    </row>
    <row r="54" spans="1:14" x14ac:dyDescent="0.2">
      <c r="A54" s="178"/>
      <c r="B54" s="591" t="s">
        <v>83</v>
      </c>
      <c r="C54" s="591"/>
      <c r="D54" s="184">
        <v>5</v>
      </c>
      <c r="E54" s="177"/>
      <c r="F54" s="179">
        <v>40</v>
      </c>
      <c r="G54" s="591" t="s">
        <v>49</v>
      </c>
      <c r="H54" s="591"/>
      <c r="I54" s="178" t="s">
        <v>235</v>
      </c>
      <c r="J54" s="185" t="s">
        <v>368</v>
      </c>
      <c r="K54" s="178" t="s">
        <v>112</v>
      </c>
      <c r="L54" s="354">
        <v>31</v>
      </c>
      <c r="M54" s="352">
        <f>SUM(D54+F54)-L54</f>
        <v>14</v>
      </c>
      <c r="N54" s="181">
        <f>D54+F54</f>
        <v>45</v>
      </c>
    </row>
    <row r="55" spans="1:14" x14ac:dyDescent="0.2">
      <c r="A55" s="178"/>
      <c r="B55" s="591" t="s">
        <v>55</v>
      </c>
      <c r="C55" s="591"/>
      <c r="D55" s="184">
        <v>31</v>
      </c>
      <c r="E55" s="177"/>
      <c r="F55" s="179">
        <v>24</v>
      </c>
      <c r="G55" s="591" t="s">
        <v>53</v>
      </c>
      <c r="H55" s="591"/>
      <c r="I55" s="178" t="s">
        <v>313</v>
      </c>
      <c r="J55" s="182" t="s">
        <v>367</v>
      </c>
      <c r="K55" s="178" t="s">
        <v>115</v>
      </c>
      <c r="L55" s="181">
        <v>26</v>
      </c>
      <c r="M55" s="181">
        <f t="shared" ref="M55:M58" si="16">SUM(D55+F55)-L55</f>
        <v>29</v>
      </c>
      <c r="N55" s="354">
        <f t="shared" ref="N55:N58" si="17">D55+F55</f>
        <v>55</v>
      </c>
    </row>
    <row r="56" spans="1:14" x14ac:dyDescent="0.2">
      <c r="A56" s="178"/>
      <c r="B56" s="586" t="s">
        <v>52</v>
      </c>
      <c r="C56" s="586"/>
      <c r="D56" s="184">
        <v>17</v>
      </c>
      <c r="E56" s="177"/>
      <c r="F56" s="179">
        <v>38</v>
      </c>
      <c r="G56" s="586" t="s">
        <v>51</v>
      </c>
      <c r="H56" s="586"/>
      <c r="I56" s="179" t="s">
        <v>235</v>
      </c>
      <c r="J56" s="182" t="s">
        <v>361</v>
      </c>
      <c r="K56" s="178" t="s">
        <v>111</v>
      </c>
      <c r="L56" s="181">
        <v>21</v>
      </c>
      <c r="M56" s="354">
        <f t="shared" si="16"/>
        <v>34</v>
      </c>
      <c r="N56" s="354">
        <f t="shared" si="17"/>
        <v>55</v>
      </c>
    </row>
    <row r="57" spans="1:14" x14ac:dyDescent="0.2">
      <c r="A57" s="178"/>
      <c r="B57" s="586" t="s">
        <v>61</v>
      </c>
      <c r="C57" s="586"/>
      <c r="D57" s="184">
        <v>33</v>
      </c>
      <c r="E57" s="177"/>
      <c r="F57" s="179">
        <v>0</v>
      </c>
      <c r="G57" s="586" t="s">
        <v>66</v>
      </c>
      <c r="H57" s="586"/>
      <c r="I57" s="179" t="s">
        <v>264</v>
      </c>
      <c r="J57" s="182" t="s">
        <v>363</v>
      </c>
      <c r="K57" s="178" t="s">
        <v>109</v>
      </c>
      <c r="L57" s="352">
        <v>14</v>
      </c>
      <c r="M57" s="181">
        <f t="shared" si="16"/>
        <v>19</v>
      </c>
      <c r="N57" s="352">
        <f t="shared" si="17"/>
        <v>33</v>
      </c>
    </row>
    <row r="58" spans="1:14" x14ac:dyDescent="0.2">
      <c r="A58" s="178"/>
      <c r="B58" s="586" t="s">
        <v>63</v>
      </c>
      <c r="C58" s="586"/>
      <c r="D58" s="184">
        <v>12</v>
      </c>
      <c r="E58" s="177"/>
      <c r="F58" s="179">
        <v>34</v>
      </c>
      <c r="G58" s="586" t="s">
        <v>46</v>
      </c>
      <c r="H58" s="586"/>
      <c r="I58" s="179" t="s">
        <v>235</v>
      </c>
      <c r="J58" s="182" t="s">
        <v>369</v>
      </c>
      <c r="K58" s="178" t="s">
        <v>113</v>
      </c>
      <c r="L58" s="181">
        <v>24</v>
      </c>
      <c r="M58" s="181">
        <f t="shared" si="16"/>
        <v>22</v>
      </c>
      <c r="N58" s="181">
        <f t="shared" si="17"/>
        <v>46</v>
      </c>
    </row>
    <row r="59" spans="1:14" x14ac:dyDescent="0.2">
      <c r="A59" s="176" t="s">
        <v>178</v>
      </c>
      <c r="B59" s="590"/>
      <c r="C59" s="590"/>
      <c r="D59" s="590"/>
      <c r="E59" s="590"/>
      <c r="F59" s="590"/>
      <c r="G59" s="590"/>
      <c r="H59" s="590"/>
      <c r="I59" s="590"/>
      <c r="J59" s="590"/>
      <c r="K59" s="593"/>
      <c r="L59" s="593"/>
      <c r="M59" s="593"/>
      <c r="N59" s="593"/>
    </row>
    <row r="60" spans="1:14" x14ac:dyDescent="0.2">
      <c r="A60" s="178"/>
      <c r="B60" s="586" t="s">
        <v>60</v>
      </c>
      <c r="C60" s="586"/>
      <c r="D60" s="184">
        <v>29</v>
      </c>
      <c r="E60" s="177"/>
      <c r="F60" s="179">
        <v>13</v>
      </c>
      <c r="G60" s="586" t="s">
        <v>83</v>
      </c>
      <c r="H60" s="586"/>
      <c r="I60" s="179" t="s">
        <v>264</v>
      </c>
      <c r="J60" s="182" t="s">
        <v>373</v>
      </c>
      <c r="K60" s="178" t="s">
        <v>110</v>
      </c>
      <c r="L60" s="181">
        <v>18</v>
      </c>
      <c r="M60" s="181">
        <f>SUM(D60+F60)-L60</f>
        <v>24</v>
      </c>
      <c r="N60" s="181">
        <f>D60+F60</f>
        <v>42</v>
      </c>
    </row>
    <row r="61" spans="1:14" x14ac:dyDescent="0.2">
      <c r="A61" s="178"/>
      <c r="B61" s="586" t="s">
        <v>53</v>
      </c>
      <c r="C61" s="586"/>
      <c r="D61" s="184">
        <v>13</v>
      </c>
      <c r="E61" s="177"/>
      <c r="F61" s="179">
        <v>10</v>
      </c>
      <c r="G61" s="586" t="s">
        <v>52</v>
      </c>
      <c r="H61" s="586"/>
      <c r="I61" s="179" t="s">
        <v>230</v>
      </c>
      <c r="J61" s="182" t="s">
        <v>376</v>
      </c>
      <c r="K61" s="178" t="s">
        <v>117</v>
      </c>
      <c r="L61" s="352">
        <v>12</v>
      </c>
      <c r="M61" s="352">
        <f t="shared" ref="M61:M64" si="18">SUM(D61+F61)-L61</f>
        <v>11</v>
      </c>
      <c r="N61" s="352">
        <f t="shared" ref="N61:N64" si="19">D61+F61</f>
        <v>23</v>
      </c>
    </row>
    <row r="62" spans="1:14" x14ac:dyDescent="0.2">
      <c r="A62" s="178"/>
      <c r="B62" s="586" t="s">
        <v>55</v>
      </c>
      <c r="C62" s="586"/>
      <c r="D62" s="184">
        <v>24</v>
      </c>
      <c r="E62" s="177"/>
      <c r="F62" s="179">
        <v>29</v>
      </c>
      <c r="G62" s="586" t="s">
        <v>61</v>
      </c>
      <c r="H62" s="586"/>
      <c r="I62" s="179" t="s">
        <v>267</v>
      </c>
      <c r="J62" s="185" t="s">
        <v>379</v>
      </c>
      <c r="K62" s="178" t="s">
        <v>115</v>
      </c>
      <c r="L62" s="181">
        <v>13</v>
      </c>
      <c r="M62" s="354">
        <f t="shared" si="18"/>
        <v>40</v>
      </c>
      <c r="N62" s="181">
        <f t="shared" si="19"/>
        <v>53</v>
      </c>
    </row>
    <row r="63" spans="1:14" x14ac:dyDescent="0.2">
      <c r="A63" s="178"/>
      <c r="B63" s="586" t="s">
        <v>46</v>
      </c>
      <c r="C63" s="586"/>
      <c r="D63" s="184">
        <v>20</v>
      </c>
      <c r="E63" s="177"/>
      <c r="F63" s="179">
        <v>26</v>
      </c>
      <c r="G63" s="586" t="s">
        <v>57</v>
      </c>
      <c r="H63" s="586"/>
      <c r="I63" s="179" t="s">
        <v>233</v>
      </c>
      <c r="J63" s="182" t="s">
        <v>382</v>
      </c>
      <c r="K63" s="178" t="s">
        <v>114</v>
      </c>
      <c r="L63" s="181">
        <v>21</v>
      </c>
      <c r="M63" s="181">
        <f t="shared" si="18"/>
        <v>25</v>
      </c>
      <c r="N63" s="181">
        <f t="shared" si="19"/>
        <v>46</v>
      </c>
    </row>
    <row r="64" spans="1:14" x14ac:dyDescent="0.2">
      <c r="A64" s="178"/>
      <c r="B64" s="586" t="s">
        <v>66</v>
      </c>
      <c r="C64" s="586"/>
      <c r="D64" s="184">
        <v>30</v>
      </c>
      <c r="E64" s="177"/>
      <c r="F64" s="179">
        <v>26</v>
      </c>
      <c r="G64" s="586" t="s">
        <v>51</v>
      </c>
      <c r="H64" s="586"/>
      <c r="I64" s="179" t="s">
        <v>385</v>
      </c>
      <c r="J64" s="182" t="s">
        <v>386</v>
      </c>
      <c r="K64" s="178" t="s">
        <v>118</v>
      </c>
      <c r="L64" s="354">
        <v>29</v>
      </c>
      <c r="M64" s="181">
        <f t="shared" si="18"/>
        <v>27</v>
      </c>
      <c r="N64" s="354">
        <f t="shared" si="19"/>
        <v>56</v>
      </c>
    </row>
    <row r="65" spans="1:14" x14ac:dyDescent="0.2">
      <c r="A65" s="176" t="s">
        <v>179</v>
      </c>
      <c r="B65" s="590"/>
      <c r="C65" s="590"/>
      <c r="D65" s="590"/>
      <c r="E65" s="590"/>
      <c r="F65" s="590"/>
      <c r="G65" s="590"/>
      <c r="H65" s="590"/>
      <c r="I65" s="590"/>
      <c r="J65" s="590"/>
      <c r="K65" s="593"/>
      <c r="L65" s="593"/>
      <c r="M65" s="593"/>
      <c r="N65" s="593"/>
    </row>
    <row r="66" spans="1:14" x14ac:dyDescent="0.2">
      <c r="A66" s="178"/>
      <c r="B66" s="586" t="s">
        <v>83</v>
      </c>
      <c r="C66" s="586"/>
      <c r="D66" s="184">
        <v>15</v>
      </c>
      <c r="E66" s="177"/>
      <c r="F66" s="179">
        <v>38</v>
      </c>
      <c r="G66" s="586" t="s">
        <v>61</v>
      </c>
      <c r="H66" s="586"/>
      <c r="I66" s="179" t="s">
        <v>235</v>
      </c>
      <c r="J66" s="182" t="s">
        <v>399</v>
      </c>
      <c r="K66" s="178" t="s">
        <v>112</v>
      </c>
      <c r="L66" s="354">
        <v>36</v>
      </c>
      <c r="M66" s="181">
        <f>SUM(D66+F66)-L66</f>
        <v>17</v>
      </c>
      <c r="N66" s="181">
        <f>D66+F66</f>
        <v>53</v>
      </c>
    </row>
    <row r="67" spans="1:14" x14ac:dyDescent="0.2">
      <c r="A67" s="178"/>
      <c r="B67" s="586" t="s">
        <v>51</v>
      </c>
      <c r="C67" s="586"/>
      <c r="D67" s="184">
        <v>26</v>
      </c>
      <c r="E67" s="177"/>
      <c r="F67" s="179">
        <v>29</v>
      </c>
      <c r="G67" s="586" t="s">
        <v>63</v>
      </c>
      <c r="H67" s="586"/>
      <c r="I67" s="179" t="s">
        <v>237</v>
      </c>
      <c r="J67" s="182" t="s">
        <v>392</v>
      </c>
      <c r="K67" s="178" t="s">
        <v>116</v>
      </c>
      <c r="L67" s="181">
        <v>33</v>
      </c>
      <c r="M67" s="181">
        <f t="shared" ref="M67:M70" si="20">SUM(D67+F67)-L67</f>
        <v>22</v>
      </c>
      <c r="N67" s="181">
        <f t="shared" ref="N67:N70" si="21">D67+F67</f>
        <v>55</v>
      </c>
    </row>
    <row r="68" spans="1:14" x14ac:dyDescent="0.2">
      <c r="A68" s="178"/>
      <c r="B68" s="586" t="s">
        <v>49</v>
      </c>
      <c r="C68" s="586"/>
      <c r="D68" s="184">
        <v>32</v>
      </c>
      <c r="E68" s="177"/>
      <c r="F68" s="179">
        <v>31</v>
      </c>
      <c r="G68" s="586" t="s">
        <v>60</v>
      </c>
      <c r="H68" s="586"/>
      <c r="I68" s="179" t="s">
        <v>313</v>
      </c>
      <c r="J68" s="182" t="s">
        <v>400</v>
      </c>
      <c r="K68" s="178" t="s">
        <v>108</v>
      </c>
      <c r="L68" s="181">
        <v>34</v>
      </c>
      <c r="M68" s="354">
        <f t="shared" si="20"/>
        <v>29</v>
      </c>
      <c r="N68" s="354">
        <f t="shared" si="21"/>
        <v>63</v>
      </c>
    </row>
    <row r="69" spans="1:14" x14ac:dyDescent="0.2">
      <c r="A69" s="178"/>
      <c r="B69" s="586" t="s">
        <v>57</v>
      </c>
      <c r="C69" s="586"/>
      <c r="D69" s="184">
        <v>21</v>
      </c>
      <c r="E69" s="177"/>
      <c r="F69" s="179">
        <v>22</v>
      </c>
      <c r="G69" s="586" t="s">
        <v>53</v>
      </c>
      <c r="H69" s="586"/>
      <c r="I69" s="179" t="s">
        <v>233</v>
      </c>
      <c r="J69" s="182" t="s">
        <v>397</v>
      </c>
      <c r="K69" s="178" t="s">
        <v>119</v>
      </c>
      <c r="L69" s="181">
        <v>27</v>
      </c>
      <c r="M69" s="352">
        <f t="shared" si="20"/>
        <v>16</v>
      </c>
      <c r="N69" s="181">
        <f t="shared" si="21"/>
        <v>43</v>
      </c>
    </row>
    <row r="70" spans="1:14" x14ac:dyDescent="0.2">
      <c r="A70" s="178"/>
      <c r="B70" s="586" t="s">
        <v>52</v>
      </c>
      <c r="C70" s="586"/>
      <c r="D70" s="184">
        <v>20</v>
      </c>
      <c r="E70" s="177"/>
      <c r="F70" s="179">
        <v>19</v>
      </c>
      <c r="G70" s="586" t="s">
        <v>55</v>
      </c>
      <c r="H70" s="586"/>
      <c r="I70" s="179" t="s">
        <v>230</v>
      </c>
      <c r="J70" s="182" t="s">
        <v>343</v>
      </c>
      <c r="K70" s="178" t="s">
        <v>111</v>
      </c>
      <c r="L70" s="352">
        <v>17</v>
      </c>
      <c r="M70" s="181">
        <f t="shared" si="20"/>
        <v>22</v>
      </c>
      <c r="N70" s="352">
        <f t="shared" si="21"/>
        <v>39</v>
      </c>
    </row>
    <row r="71" spans="1:14" x14ac:dyDescent="0.2">
      <c r="A71" s="176" t="s">
        <v>180</v>
      </c>
      <c r="B71" s="590"/>
      <c r="C71" s="590"/>
      <c r="D71" s="590"/>
      <c r="E71" s="590"/>
      <c r="F71" s="590"/>
      <c r="G71" s="590"/>
      <c r="H71" s="590"/>
      <c r="I71" s="590"/>
      <c r="J71" s="590"/>
      <c r="K71" s="593"/>
      <c r="L71" s="593"/>
      <c r="M71" s="593"/>
      <c r="N71" s="593"/>
    </row>
    <row r="72" spans="1:14" x14ac:dyDescent="0.2">
      <c r="A72" s="178"/>
      <c r="B72" s="586" t="s">
        <v>49</v>
      </c>
      <c r="C72" s="586"/>
      <c r="D72" s="184">
        <v>21</v>
      </c>
      <c r="E72" s="177"/>
      <c r="F72" s="179">
        <v>14</v>
      </c>
      <c r="G72" s="586" t="s">
        <v>55</v>
      </c>
      <c r="H72" s="586"/>
      <c r="I72" s="179" t="s">
        <v>230</v>
      </c>
      <c r="J72" s="182" t="s">
        <v>363</v>
      </c>
      <c r="K72" s="178" t="s">
        <v>108</v>
      </c>
      <c r="L72" s="352">
        <v>14</v>
      </c>
      <c r="M72" s="181">
        <f>SUM(D72+F72)-L72</f>
        <v>21</v>
      </c>
      <c r="N72" s="181">
        <f>D72+F72</f>
        <v>35</v>
      </c>
    </row>
    <row r="73" spans="1:14" x14ac:dyDescent="0.2">
      <c r="A73" s="178"/>
      <c r="B73" s="586" t="s">
        <v>83</v>
      </c>
      <c r="C73" s="586"/>
      <c r="D73" s="184">
        <v>29</v>
      </c>
      <c r="E73" s="177"/>
      <c r="F73" s="179">
        <v>33</v>
      </c>
      <c r="G73" s="586" t="s">
        <v>63</v>
      </c>
      <c r="H73" s="586"/>
      <c r="I73" s="179" t="s">
        <v>237</v>
      </c>
      <c r="J73" s="182" t="s">
        <v>404</v>
      </c>
      <c r="K73" s="178" t="s">
        <v>112</v>
      </c>
      <c r="L73" s="354">
        <v>41</v>
      </c>
      <c r="M73" s="181">
        <f t="shared" ref="M73:M76" si="22">SUM(D73+F73)-L73</f>
        <v>21</v>
      </c>
      <c r="N73" s="354">
        <f t="shared" ref="N73:N76" si="23">D73+F73</f>
        <v>62</v>
      </c>
    </row>
    <row r="74" spans="1:14" x14ac:dyDescent="0.2">
      <c r="A74" s="178"/>
      <c r="B74" s="586" t="s">
        <v>61</v>
      </c>
      <c r="C74" s="586"/>
      <c r="D74" s="184">
        <v>23</v>
      </c>
      <c r="E74" s="177"/>
      <c r="F74" s="179">
        <v>22</v>
      </c>
      <c r="G74" s="586" t="s">
        <v>57</v>
      </c>
      <c r="H74" s="586"/>
      <c r="I74" s="179" t="s">
        <v>385</v>
      </c>
      <c r="J74" s="182" t="s">
        <v>408</v>
      </c>
      <c r="K74" s="178" t="s">
        <v>109</v>
      </c>
      <c r="L74" s="181">
        <v>25</v>
      </c>
      <c r="M74" s="181">
        <f t="shared" si="22"/>
        <v>20</v>
      </c>
      <c r="N74" s="181">
        <f t="shared" si="23"/>
        <v>45</v>
      </c>
    </row>
    <row r="75" spans="1:14" x14ac:dyDescent="0.2">
      <c r="A75" s="178"/>
      <c r="B75" s="586" t="s">
        <v>66</v>
      </c>
      <c r="C75" s="586"/>
      <c r="D75" s="184">
        <v>23</v>
      </c>
      <c r="E75" s="177"/>
      <c r="F75" s="179">
        <v>24</v>
      </c>
      <c r="G75" s="586" t="s">
        <v>46</v>
      </c>
      <c r="H75" s="586"/>
      <c r="I75" s="179" t="s">
        <v>233</v>
      </c>
      <c r="J75" s="182" t="s">
        <v>331</v>
      </c>
      <c r="K75" s="178" t="s">
        <v>118</v>
      </c>
      <c r="L75" s="181">
        <v>16</v>
      </c>
      <c r="M75" s="354">
        <f t="shared" si="22"/>
        <v>31</v>
      </c>
      <c r="N75" s="181">
        <f t="shared" si="23"/>
        <v>47</v>
      </c>
    </row>
    <row r="76" spans="1:14" x14ac:dyDescent="0.2">
      <c r="A76" s="178"/>
      <c r="B76" s="586" t="s">
        <v>51</v>
      </c>
      <c r="C76" s="586"/>
      <c r="D76" s="184">
        <v>14</v>
      </c>
      <c r="E76" s="177"/>
      <c r="F76" s="179">
        <v>7</v>
      </c>
      <c r="G76" s="586" t="s">
        <v>60</v>
      </c>
      <c r="H76" s="586"/>
      <c r="I76" s="179" t="s">
        <v>230</v>
      </c>
      <c r="J76" s="182" t="s">
        <v>363</v>
      </c>
      <c r="K76" s="178" t="s">
        <v>116</v>
      </c>
      <c r="L76" s="352">
        <v>14</v>
      </c>
      <c r="M76" s="352">
        <f t="shared" si="22"/>
        <v>7</v>
      </c>
      <c r="N76" s="352">
        <f t="shared" si="23"/>
        <v>21</v>
      </c>
    </row>
    <row r="77" spans="1:14" x14ac:dyDescent="0.2">
      <c r="A77" s="176" t="s">
        <v>181</v>
      </c>
      <c r="B77" s="590"/>
      <c r="C77" s="590"/>
      <c r="D77" s="590"/>
      <c r="E77" s="590"/>
      <c r="F77" s="590"/>
      <c r="G77" s="590"/>
      <c r="H77" s="590"/>
      <c r="I77" s="590"/>
      <c r="J77" s="590"/>
      <c r="K77" s="593"/>
      <c r="L77" s="593"/>
      <c r="M77" s="593"/>
      <c r="N77" s="593"/>
    </row>
    <row r="78" spans="1:14" x14ac:dyDescent="0.2">
      <c r="A78" s="178"/>
      <c r="B78" s="586" t="s">
        <v>60</v>
      </c>
      <c r="C78" s="586"/>
      <c r="D78" s="184">
        <v>26</v>
      </c>
      <c r="E78" s="177"/>
      <c r="F78" s="179">
        <v>24</v>
      </c>
      <c r="G78" s="586" t="s">
        <v>53</v>
      </c>
      <c r="H78" s="586"/>
      <c r="I78" s="179" t="s">
        <v>230</v>
      </c>
      <c r="J78" s="182" t="s">
        <v>413</v>
      </c>
      <c r="K78" s="178" t="s">
        <v>110</v>
      </c>
      <c r="L78" s="181">
        <v>20</v>
      </c>
      <c r="M78" s="354">
        <f>SUM(D78+F78)-L78</f>
        <v>30</v>
      </c>
      <c r="N78" s="354">
        <f>D78+F78</f>
        <v>50</v>
      </c>
    </row>
    <row r="79" spans="1:14" x14ac:dyDescent="0.2">
      <c r="A79" s="178"/>
      <c r="B79" s="586" t="s">
        <v>52</v>
      </c>
      <c r="C79" s="586"/>
      <c r="D79" s="184">
        <v>15</v>
      </c>
      <c r="E79" s="177"/>
      <c r="F79" s="179">
        <v>13</v>
      </c>
      <c r="G79" s="586" t="s">
        <v>46</v>
      </c>
      <c r="H79" s="586"/>
      <c r="I79" s="179" t="s">
        <v>230</v>
      </c>
      <c r="J79" s="182" t="s">
        <v>414</v>
      </c>
      <c r="K79" s="178" t="s">
        <v>111</v>
      </c>
      <c r="L79" s="181">
        <v>15</v>
      </c>
      <c r="M79" s="352">
        <f t="shared" ref="M79:M81" si="24">SUM(D79+F79)-L79</f>
        <v>13</v>
      </c>
      <c r="N79" s="352">
        <f t="shared" ref="N79:N81" si="25">D79+F79</f>
        <v>28</v>
      </c>
    </row>
    <row r="80" spans="1:14" x14ac:dyDescent="0.2">
      <c r="A80" s="178"/>
      <c r="B80" s="586" t="s">
        <v>57</v>
      </c>
      <c r="C80" s="586"/>
      <c r="D80" s="184">
        <v>13</v>
      </c>
      <c r="E80" s="177"/>
      <c r="F80" s="179">
        <v>25</v>
      </c>
      <c r="G80" s="586" t="s">
        <v>49</v>
      </c>
      <c r="H80" s="586"/>
      <c r="I80" s="179" t="s">
        <v>269</v>
      </c>
      <c r="J80" s="182" t="s">
        <v>415</v>
      </c>
      <c r="K80" s="178" t="s">
        <v>119</v>
      </c>
      <c r="L80" s="352">
        <v>10</v>
      </c>
      <c r="M80" s="181">
        <f t="shared" si="24"/>
        <v>28</v>
      </c>
      <c r="N80" s="181">
        <f t="shared" si="25"/>
        <v>38</v>
      </c>
    </row>
    <row r="81" spans="1:14" x14ac:dyDescent="0.2">
      <c r="A81" s="179"/>
      <c r="B81" s="586" t="s">
        <v>63</v>
      </c>
      <c r="C81" s="586"/>
      <c r="D81" s="184">
        <v>19</v>
      </c>
      <c r="E81" s="188"/>
      <c r="F81" s="179">
        <v>27</v>
      </c>
      <c r="G81" s="586" t="s">
        <v>66</v>
      </c>
      <c r="H81" s="586"/>
      <c r="I81" s="179" t="s">
        <v>235</v>
      </c>
      <c r="J81" s="182" t="s">
        <v>416</v>
      </c>
      <c r="K81" s="178" t="s">
        <v>113</v>
      </c>
      <c r="L81" s="354">
        <v>26</v>
      </c>
      <c r="M81" s="181">
        <f t="shared" si="24"/>
        <v>20</v>
      </c>
      <c r="N81" s="181">
        <f t="shared" si="25"/>
        <v>46</v>
      </c>
    </row>
    <row r="82" spans="1:14" x14ac:dyDescent="0.2">
      <c r="A82" s="189" t="s">
        <v>182</v>
      </c>
      <c r="B82" s="595"/>
      <c r="C82" s="595"/>
      <c r="D82" s="595"/>
      <c r="E82" s="595"/>
      <c r="F82" s="595"/>
      <c r="G82" s="595"/>
      <c r="H82" s="595"/>
      <c r="I82" s="595"/>
      <c r="J82" s="595"/>
      <c r="K82" s="593"/>
      <c r="L82" s="593"/>
      <c r="M82" s="593"/>
      <c r="N82" s="593"/>
    </row>
    <row r="83" spans="1:14" x14ac:dyDescent="0.2">
      <c r="A83" s="179"/>
      <c r="B83" s="586" t="s">
        <v>49</v>
      </c>
      <c r="C83" s="586"/>
      <c r="D83" s="192">
        <v>21</v>
      </c>
      <c r="E83" s="188"/>
      <c r="F83" s="179">
        <v>7</v>
      </c>
      <c r="G83" s="586" t="s">
        <v>61</v>
      </c>
      <c r="H83" s="586"/>
      <c r="I83" s="179" t="s">
        <v>229</v>
      </c>
      <c r="J83" s="385" t="s">
        <v>423</v>
      </c>
      <c r="K83" s="178" t="s">
        <v>108</v>
      </c>
      <c r="L83" s="352">
        <v>0</v>
      </c>
      <c r="M83" s="181">
        <f>SUM(D83+F83)-L83</f>
        <v>28</v>
      </c>
      <c r="N83" s="352">
        <f>D83+F83</f>
        <v>28</v>
      </c>
    </row>
    <row r="84" spans="1:14" x14ac:dyDescent="0.2">
      <c r="A84" s="179"/>
      <c r="B84" s="586" t="s">
        <v>53</v>
      </c>
      <c r="C84" s="586"/>
      <c r="D84" s="192">
        <v>47</v>
      </c>
      <c r="E84" s="188"/>
      <c r="F84" s="179">
        <v>29</v>
      </c>
      <c r="G84" s="586" t="s">
        <v>83</v>
      </c>
      <c r="H84" s="586"/>
      <c r="I84" s="179" t="s">
        <v>341</v>
      </c>
      <c r="J84" s="385" t="s">
        <v>420</v>
      </c>
      <c r="K84" s="178" t="s">
        <v>117</v>
      </c>
      <c r="L84" s="354">
        <v>24</v>
      </c>
      <c r="M84" s="354">
        <f t="shared" ref="M84:M87" si="26">SUM(D84+F84)-L84</f>
        <v>52</v>
      </c>
      <c r="N84" s="354">
        <f t="shared" ref="N84:N87" si="27">D84+F84</f>
        <v>76</v>
      </c>
    </row>
    <row r="85" spans="1:14" x14ac:dyDescent="0.2">
      <c r="A85" s="179"/>
      <c r="B85" s="586" t="s">
        <v>55</v>
      </c>
      <c r="C85" s="586"/>
      <c r="D85" s="192">
        <v>20</v>
      </c>
      <c r="E85" s="188" t="s">
        <v>153</v>
      </c>
      <c r="F85" s="179">
        <v>27</v>
      </c>
      <c r="G85" s="586" t="s">
        <v>66</v>
      </c>
      <c r="H85" s="586"/>
      <c r="I85" s="179" t="s">
        <v>233</v>
      </c>
      <c r="J85" s="385" t="s">
        <v>425</v>
      </c>
      <c r="K85" s="178" t="s">
        <v>115</v>
      </c>
      <c r="L85" s="181">
        <v>20</v>
      </c>
      <c r="M85" s="352">
        <f t="shared" si="26"/>
        <v>27</v>
      </c>
      <c r="N85" s="181">
        <f t="shared" si="27"/>
        <v>47</v>
      </c>
    </row>
    <row r="86" spans="1:14" x14ac:dyDescent="0.2">
      <c r="A86" s="179"/>
      <c r="B86" s="586" t="s">
        <v>46</v>
      </c>
      <c r="C86" s="586"/>
      <c r="D86" s="192">
        <v>26</v>
      </c>
      <c r="E86" s="188"/>
      <c r="F86" s="179">
        <v>24</v>
      </c>
      <c r="G86" s="586" t="s">
        <v>51</v>
      </c>
      <c r="H86" s="586"/>
      <c r="I86" s="179" t="s">
        <v>341</v>
      </c>
      <c r="J86" s="385" t="s">
        <v>427</v>
      </c>
      <c r="K86" s="178" t="s">
        <v>114</v>
      </c>
      <c r="L86" s="181">
        <v>17</v>
      </c>
      <c r="M86" s="181">
        <f t="shared" si="26"/>
        <v>33</v>
      </c>
      <c r="N86" s="181">
        <f t="shared" si="27"/>
        <v>50</v>
      </c>
    </row>
    <row r="87" spans="1:14" x14ac:dyDescent="0.2">
      <c r="A87" s="179"/>
      <c r="B87" s="586" t="s">
        <v>63</v>
      </c>
      <c r="C87" s="586"/>
      <c r="D87" s="192">
        <v>45</v>
      </c>
      <c r="E87" s="188"/>
      <c r="F87" s="179">
        <v>15</v>
      </c>
      <c r="G87" s="586" t="s">
        <v>52</v>
      </c>
      <c r="H87" s="586"/>
      <c r="I87" s="179" t="s">
        <v>264</v>
      </c>
      <c r="J87" s="385" t="s">
        <v>425</v>
      </c>
      <c r="K87" s="178" t="s">
        <v>113</v>
      </c>
      <c r="L87" s="181">
        <v>20</v>
      </c>
      <c r="M87" s="181">
        <f t="shared" si="26"/>
        <v>40</v>
      </c>
      <c r="N87" s="181">
        <f t="shared" si="27"/>
        <v>60</v>
      </c>
    </row>
    <row r="88" spans="1:14" x14ac:dyDescent="0.2">
      <c r="A88" s="189" t="s">
        <v>183</v>
      </c>
      <c r="B88" s="595"/>
      <c r="C88" s="595"/>
      <c r="D88" s="595"/>
      <c r="E88" s="595"/>
      <c r="F88" s="595"/>
      <c r="G88" s="595"/>
      <c r="H88" s="595"/>
      <c r="I88" s="595"/>
      <c r="J88" s="595"/>
      <c r="K88" s="593"/>
      <c r="L88" s="593"/>
      <c r="M88" s="593"/>
      <c r="N88" s="593"/>
    </row>
    <row r="89" spans="1:14" x14ac:dyDescent="0.2">
      <c r="A89" s="179"/>
      <c r="B89" s="586" t="s">
        <v>53</v>
      </c>
      <c r="C89" s="586"/>
      <c r="D89" s="187">
        <v>30</v>
      </c>
      <c r="E89" s="188"/>
      <c r="F89" s="179">
        <v>31</v>
      </c>
      <c r="G89" s="586" t="s">
        <v>46</v>
      </c>
      <c r="H89" s="586"/>
      <c r="I89" s="179" t="s">
        <v>267</v>
      </c>
      <c r="J89" s="182" t="s">
        <v>431</v>
      </c>
      <c r="K89" s="178" t="s">
        <v>117</v>
      </c>
      <c r="L89" s="181">
        <v>27</v>
      </c>
      <c r="M89" s="181">
        <f>SUM(D89+F89)-L89</f>
        <v>34</v>
      </c>
      <c r="N89" s="181">
        <f>D89+F89</f>
        <v>61</v>
      </c>
    </row>
    <row r="90" spans="1:14" x14ac:dyDescent="0.2">
      <c r="A90" s="179"/>
      <c r="B90" s="586" t="s">
        <v>61</v>
      </c>
      <c r="C90" s="586"/>
      <c r="D90" s="187">
        <v>29</v>
      </c>
      <c r="E90" s="188"/>
      <c r="F90" s="179">
        <v>12</v>
      </c>
      <c r="G90" s="586" t="s">
        <v>63</v>
      </c>
      <c r="H90" s="586"/>
      <c r="I90" s="179" t="s">
        <v>264</v>
      </c>
      <c r="J90" s="182" t="s">
        <v>434</v>
      </c>
      <c r="K90" s="178" t="s">
        <v>109</v>
      </c>
      <c r="L90" s="181">
        <v>31</v>
      </c>
      <c r="M90" s="352">
        <f t="shared" ref="M90:M94" si="28">SUM(D90+F90)-L90</f>
        <v>10</v>
      </c>
      <c r="N90" s="181">
        <f t="shared" ref="N90:N94" si="29">D90+F90</f>
        <v>41</v>
      </c>
    </row>
    <row r="91" spans="1:14" x14ac:dyDescent="0.2">
      <c r="A91" s="179"/>
      <c r="B91" s="586" t="s">
        <v>66</v>
      </c>
      <c r="C91" s="586"/>
      <c r="D91" s="187">
        <v>34</v>
      </c>
      <c r="E91" s="188"/>
      <c r="F91" s="179">
        <v>24</v>
      </c>
      <c r="G91" s="586" t="s">
        <v>83</v>
      </c>
      <c r="H91" s="586"/>
      <c r="I91" s="179" t="s">
        <v>264</v>
      </c>
      <c r="J91" s="182" t="s">
        <v>416</v>
      </c>
      <c r="K91" s="178" t="s">
        <v>118</v>
      </c>
      <c r="L91" s="181">
        <v>26</v>
      </c>
      <c r="M91" s="181">
        <f t="shared" si="28"/>
        <v>32</v>
      </c>
      <c r="N91" s="181">
        <f t="shared" si="29"/>
        <v>58</v>
      </c>
    </row>
    <row r="92" spans="1:14" x14ac:dyDescent="0.2">
      <c r="A92" s="179"/>
      <c r="B92" s="586" t="s">
        <v>52</v>
      </c>
      <c r="C92" s="586"/>
      <c r="D92" s="187">
        <v>13</v>
      </c>
      <c r="E92" s="188"/>
      <c r="F92" s="179">
        <v>20</v>
      </c>
      <c r="G92" s="586" t="s">
        <v>49</v>
      </c>
      <c r="H92" s="586"/>
      <c r="I92" s="179" t="s">
        <v>233</v>
      </c>
      <c r="J92" s="182" t="s">
        <v>436</v>
      </c>
      <c r="K92" s="178" t="s">
        <v>111</v>
      </c>
      <c r="L92" s="352">
        <v>13</v>
      </c>
      <c r="M92" s="181">
        <f t="shared" si="28"/>
        <v>20</v>
      </c>
      <c r="N92" s="352">
        <f t="shared" si="29"/>
        <v>33</v>
      </c>
    </row>
    <row r="93" spans="1:14" x14ac:dyDescent="0.2">
      <c r="A93" s="179"/>
      <c r="B93" s="586" t="s">
        <v>51</v>
      </c>
      <c r="C93" s="586"/>
      <c r="D93" s="187">
        <v>22</v>
      </c>
      <c r="E93" s="188"/>
      <c r="F93" s="179">
        <v>20</v>
      </c>
      <c r="G93" s="586" t="s">
        <v>57</v>
      </c>
      <c r="H93" s="586"/>
      <c r="I93" s="179" t="s">
        <v>230</v>
      </c>
      <c r="J93" s="182" t="s">
        <v>439</v>
      </c>
      <c r="K93" s="178" t="s">
        <v>116</v>
      </c>
      <c r="L93" s="352">
        <v>13</v>
      </c>
      <c r="M93" s="181">
        <f t="shared" si="28"/>
        <v>29</v>
      </c>
      <c r="N93" s="181">
        <f t="shared" si="29"/>
        <v>42</v>
      </c>
    </row>
    <row r="94" spans="1:14" x14ac:dyDescent="0.2">
      <c r="A94" s="179"/>
      <c r="B94" s="586" t="s">
        <v>60</v>
      </c>
      <c r="C94" s="586"/>
      <c r="D94" s="187">
        <v>68</v>
      </c>
      <c r="E94" s="188"/>
      <c r="F94" s="179">
        <v>29</v>
      </c>
      <c r="G94" s="586" t="s">
        <v>55</v>
      </c>
      <c r="H94" s="586"/>
      <c r="I94" s="179" t="s">
        <v>341</v>
      </c>
      <c r="J94" s="182" t="s">
        <v>440</v>
      </c>
      <c r="K94" s="178" t="s">
        <v>110</v>
      </c>
      <c r="L94" s="354">
        <v>59</v>
      </c>
      <c r="M94" s="354">
        <f t="shared" si="28"/>
        <v>38</v>
      </c>
      <c r="N94" s="354">
        <f t="shared" si="29"/>
        <v>97</v>
      </c>
    </row>
    <row r="95" spans="1:14" x14ac:dyDescent="0.2">
      <c r="A95" s="189" t="s">
        <v>184</v>
      </c>
      <c r="B95" s="595"/>
      <c r="C95" s="595"/>
      <c r="D95" s="595"/>
      <c r="E95" s="595"/>
      <c r="F95" s="595"/>
      <c r="G95" s="595"/>
      <c r="H95" s="595"/>
      <c r="I95" s="595"/>
      <c r="J95" s="595"/>
      <c r="K95" s="593"/>
      <c r="L95" s="593"/>
      <c r="M95" s="593"/>
      <c r="N95" s="593"/>
    </row>
    <row r="96" spans="1:14" x14ac:dyDescent="0.2">
      <c r="A96" s="179"/>
      <c r="B96" s="586" t="s">
        <v>51</v>
      </c>
      <c r="C96" s="586"/>
      <c r="D96" s="187">
        <v>34</v>
      </c>
      <c r="E96" s="188"/>
      <c r="F96" s="179">
        <v>36</v>
      </c>
      <c r="G96" s="586" t="s">
        <v>53</v>
      </c>
      <c r="H96" s="586"/>
      <c r="I96" s="179" t="s">
        <v>237</v>
      </c>
      <c r="J96" s="182" t="s">
        <v>443</v>
      </c>
      <c r="K96" s="178" t="s">
        <v>116</v>
      </c>
      <c r="L96" s="354">
        <v>34</v>
      </c>
      <c r="M96" s="354">
        <f>SUM(D96+F96)-L96</f>
        <v>36</v>
      </c>
      <c r="N96" s="354">
        <f>D96+F96</f>
        <v>70</v>
      </c>
    </row>
    <row r="97" spans="1:14" x14ac:dyDescent="0.2">
      <c r="A97" s="179"/>
      <c r="B97" s="586" t="s">
        <v>57</v>
      </c>
      <c r="C97" s="586"/>
      <c r="D97" s="187">
        <v>22</v>
      </c>
      <c r="E97" s="188"/>
      <c r="F97" s="179">
        <v>16</v>
      </c>
      <c r="G97" s="586" t="s">
        <v>66</v>
      </c>
      <c r="H97" s="586"/>
      <c r="I97" s="179" t="s">
        <v>230</v>
      </c>
      <c r="J97" s="182" t="s">
        <v>439</v>
      </c>
      <c r="K97" s="178" t="s">
        <v>119</v>
      </c>
      <c r="L97" s="352">
        <v>13</v>
      </c>
      <c r="M97" s="181">
        <f t="shared" ref="M97:M101" si="30">SUM(D97+F97)-L97</f>
        <v>25</v>
      </c>
      <c r="N97" s="352">
        <f t="shared" ref="N97:N101" si="31">D97+F97</f>
        <v>38</v>
      </c>
    </row>
    <row r="98" spans="1:14" x14ac:dyDescent="0.2">
      <c r="A98" s="179"/>
      <c r="B98" s="586" t="s">
        <v>61</v>
      </c>
      <c r="C98" s="586"/>
      <c r="D98" s="187">
        <v>28</v>
      </c>
      <c r="E98" s="188"/>
      <c r="F98" s="179">
        <v>25</v>
      </c>
      <c r="G98" s="586" t="s">
        <v>60</v>
      </c>
      <c r="H98" s="586"/>
      <c r="I98" s="179" t="s">
        <v>341</v>
      </c>
      <c r="J98" s="182" t="s">
        <v>448</v>
      </c>
      <c r="K98" s="178" t="s">
        <v>109</v>
      </c>
      <c r="L98" s="181">
        <v>23</v>
      </c>
      <c r="M98" s="181">
        <f t="shared" si="30"/>
        <v>30</v>
      </c>
      <c r="N98" s="181">
        <f t="shared" si="31"/>
        <v>53</v>
      </c>
    </row>
    <row r="99" spans="1:14" x14ac:dyDescent="0.2">
      <c r="A99" s="179"/>
      <c r="B99" s="586" t="s">
        <v>46</v>
      </c>
      <c r="C99" s="586"/>
      <c r="D99" s="187">
        <v>36</v>
      </c>
      <c r="E99" s="188"/>
      <c r="F99" s="179">
        <v>27</v>
      </c>
      <c r="G99" s="586" t="s">
        <v>55</v>
      </c>
      <c r="H99" s="586"/>
      <c r="I99" s="179" t="s">
        <v>264</v>
      </c>
      <c r="J99" s="182" t="s">
        <v>443</v>
      </c>
      <c r="K99" s="178" t="s">
        <v>114</v>
      </c>
      <c r="L99" s="354">
        <v>34</v>
      </c>
      <c r="M99" s="181">
        <f t="shared" si="30"/>
        <v>29</v>
      </c>
      <c r="N99" s="181">
        <f t="shared" si="31"/>
        <v>63</v>
      </c>
    </row>
    <row r="100" spans="1:14" x14ac:dyDescent="0.2">
      <c r="A100" s="179"/>
      <c r="B100" s="586" t="s">
        <v>63</v>
      </c>
      <c r="C100" s="586"/>
      <c r="D100" s="187">
        <v>21</v>
      </c>
      <c r="E100" s="188"/>
      <c r="F100" s="179">
        <v>38</v>
      </c>
      <c r="G100" s="586" t="s">
        <v>49</v>
      </c>
      <c r="H100" s="586"/>
      <c r="I100" s="179" t="s">
        <v>235</v>
      </c>
      <c r="J100" s="182" t="s">
        <v>449</v>
      </c>
      <c r="K100" s="178" t="s">
        <v>113</v>
      </c>
      <c r="L100" s="181">
        <v>26</v>
      </c>
      <c r="M100" s="181">
        <f t="shared" si="30"/>
        <v>33</v>
      </c>
      <c r="N100" s="181">
        <f t="shared" si="31"/>
        <v>59</v>
      </c>
    </row>
    <row r="101" spans="1:14" x14ac:dyDescent="0.2">
      <c r="A101" s="179"/>
      <c r="B101" s="586" t="s">
        <v>83</v>
      </c>
      <c r="C101" s="586"/>
      <c r="D101" s="187">
        <v>14</v>
      </c>
      <c r="E101" s="188"/>
      <c r="F101" s="179">
        <v>30</v>
      </c>
      <c r="G101" s="586" t="s">
        <v>52</v>
      </c>
      <c r="H101" s="586"/>
      <c r="I101" s="179" t="s">
        <v>235</v>
      </c>
      <c r="J101" s="186" t="s">
        <v>450</v>
      </c>
      <c r="K101" s="178" t="s">
        <v>112</v>
      </c>
      <c r="L101" s="181">
        <v>22</v>
      </c>
      <c r="M101" s="352">
        <f t="shared" si="30"/>
        <v>22</v>
      </c>
      <c r="N101" s="181">
        <f t="shared" si="31"/>
        <v>44</v>
      </c>
    </row>
    <row r="102" spans="1:14" x14ac:dyDescent="0.2">
      <c r="A102" s="189" t="s">
        <v>185</v>
      </c>
      <c r="B102" s="595"/>
      <c r="C102" s="595"/>
      <c r="D102" s="595"/>
      <c r="E102" s="595"/>
      <c r="F102" s="595"/>
      <c r="G102" s="595"/>
      <c r="H102" s="595"/>
      <c r="I102" s="595"/>
      <c r="J102" s="595"/>
      <c r="K102" s="593"/>
      <c r="L102" s="593"/>
      <c r="M102" s="593"/>
      <c r="N102" s="593"/>
    </row>
    <row r="103" spans="1:14" x14ac:dyDescent="0.2">
      <c r="A103" s="179"/>
      <c r="B103" s="586" t="s">
        <v>49</v>
      </c>
      <c r="C103" s="586"/>
      <c r="D103" s="187">
        <v>27</v>
      </c>
      <c r="E103" s="188"/>
      <c r="F103" s="179">
        <v>17</v>
      </c>
      <c r="G103" s="586" t="s">
        <v>46</v>
      </c>
      <c r="H103" s="586"/>
      <c r="I103" s="179" t="s">
        <v>264</v>
      </c>
      <c r="J103" s="182" t="s">
        <v>266</v>
      </c>
      <c r="K103" s="178" t="s">
        <v>108</v>
      </c>
      <c r="L103" s="181">
        <v>22</v>
      </c>
      <c r="M103" s="181">
        <f>SUM(D103+F103)-L103</f>
        <v>22</v>
      </c>
      <c r="N103" s="181">
        <f>D103+F103</f>
        <v>44</v>
      </c>
    </row>
    <row r="104" spans="1:14" x14ac:dyDescent="0.2">
      <c r="A104" s="179"/>
      <c r="B104" s="586" t="s">
        <v>83</v>
      </c>
      <c r="C104" s="586"/>
      <c r="D104" s="187">
        <v>29</v>
      </c>
      <c r="E104" s="188"/>
      <c r="F104" s="179">
        <v>38</v>
      </c>
      <c r="G104" s="586" t="s">
        <v>57</v>
      </c>
      <c r="H104" s="586"/>
      <c r="I104" s="179" t="s">
        <v>267</v>
      </c>
      <c r="J104" s="182" t="s">
        <v>457</v>
      </c>
      <c r="K104" s="178" t="s">
        <v>112</v>
      </c>
      <c r="L104" s="181">
        <v>38</v>
      </c>
      <c r="M104" s="181">
        <f t="shared" ref="M104:M108" si="32">SUM(D104+F104)-L104</f>
        <v>29</v>
      </c>
      <c r="N104" s="181">
        <f t="shared" ref="N104:N108" si="33">D104+F104</f>
        <v>67</v>
      </c>
    </row>
    <row r="105" spans="1:14" x14ac:dyDescent="0.2">
      <c r="A105" s="179"/>
      <c r="B105" s="586" t="s">
        <v>52</v>
      </c>
      <c r="C105" s="586"/>
      <c r="D105" s="187">
        <v>17</v>
      </c>
      <c r="E105" s="188"/>
      <c r="F105" s="179">
        <v>12</v>
      </c>
      <c r="G105" s="586" t="s">
        <v>53</v>
      </c>
      <c r="H105" s="586"/>
      <c r="I105" s="179" t="s">
        <v>230</v>
      </c>
      <c r="J105" s="182" t="s">
        <v>458</v>
      </c>
      <c r="K105" s="178" t="s">
        <v>111</v>
      </c>
      <c r="L105" s="181">
        <v>24</v>
      </c>
      <c r="M105" s="352">
        <f t="shared" si="32"/>
        <v>5</v>
      </c>
      <c r="N105" s="352">
        <f t="shared" si="33"/>
        <v>29</v>
      </c>
    </row>
    <row r="106" spans="1:14" x14ac:dyDescent="0.2">
      <c r="A106" s="179"/>
      <c r="B106" s="586" t="s">
        <v>55</v>
      </c>
      <c r="C106" s="586"/>
      <c r="D106" s="187">
        <v>50</v>
      </c>
      <c r="E106" s="188"/>
      <c r="F106" s="179">
        <v>46</v>
      </c>
      <c r="G106" s="586" t="s">
        <v>51</v>
      </c>
      <c r="H106" s="586"/>
      <c r="I106" s="179" t="s">
        <v>313</v>
      </c>
      <c r="J106" s="182" t="s">
        <v>459</v>
      </c>
      <c r="K106" s="178" t="s">
        <v>115</v>
      </c>
      <c r="L106" s="354">
        <v>57</v>
      </c>
      <c r="M106" s="354">
        <f t="shared" si="32"/>
        <v>39</v>
      </c>
      <c r="N106" s="354">
        <f t="shared" si="33"/>
        <v>96</v>
      </c>
    </row>
    <row r="107" spans="1:14" x14ac:dyDescent="0.2">
      <c r="A107" s="179"/>
      <c r="B107" s="586" t="s">
        <v>60</v>
      </c>
      <c r="C107" s="586"/>
      <c r="D107" s="187">
        <v>29</v>
      </c>
      <c r="E107" s="188"/>
      <c r="F107" s="179">
        <v>12</v>
      </c>
      <c r="G107" s="586" t="s">
        <v>63</v>
      </c>
      <c r="H107" s="586"/>
      <c r="I107" s="179" t="s">
        <v>264</v>
      </c>
      <c r="J107" s="182" t="s">
        <v>463</v>
      </c>
      <c r="K107" s="178" t="s">
        <v>110</v>
      </c>
      <c r="L107" s="352">
        <v>15</v>
      </c>
      <c r="M107" s="181">
        <f t="shared" si="32"/>
        <v>26</v>
      </c>
      <c r="N107" s="181">
        <f t="shared" si="33"/>
        <v>41</v>
      </c>
    </row>
    <row r="108" spans="1:14" x14ac:dyDescent="0.2">
      <c r="A108" s="179"/>
      <c r="B108" s="586" t="s">
        <v>66</v>
      </c>
      <c r="C108" s="586"/>
      <c r="D108" s="187">
        <v>37</v>
      </c>
      <c r="E108" s="188"/>
      <c r="F108" s="179">
        <v>24</v>
      </c>
      <c r="G108" s="586" t="s">
        <v>61</v>
      </c>
      <c r="H108" s="586"/>
      <c r="I108" s="179" t="s">
        <v>229</v>
      </c>
      <c r="J108" s="182" t="s">
        <v>466</v>
      </c>
      <c r="K108" s="178" t="s">
        <v>118</v>
      </c>
      <c r="L108" s="181">
        <v>28</v>
      </c>
      <c r="M108" s="181">
        <f t="shared" si="32"/>
        <v>33</v>
      </c>
      <c r="N108" s="181">
        <f t="shared" si="33"/>
        <v>61</v>
      </c>
    </row>
    <row r="109" spans="1:14" x14ac:dyDescent="0.2">
      <c r="A109" s="189" t="s">
        <v>186</v>
      </c>
      <c r="B109" s="595"/>
      <c r="C109" s="595"/>
      <c r="D109" s="595"/>
      <c r="E109" s="595"/>
      <c r="F109" s="595"/>
      <c r="G109" s="595"/>
      <c r="H109" s="595"/>
      <c r="I109" s="595"/>
      <c r="J109" s="595"/>
      <c r="K109" s="593"/>
      <c r="L109" s="593"/>
      <c r="M109" s="593"/>
      <c r="N109" s="593"/>
    </row>
    <row r="110" spans="1:14" x14ac:dyDescent="0.2">
      <c r="A110" s="179"/>
      <c r="B110" s="586" t="s">
        <v>46</v>
      </c>
      <c r="C110" s="586"/>
      <c r="D110" s="187">
        <v>40</v>
      </c>
      <c r="E110" s="188"/>
      <c r="F110" s="179">
        <v>7</v>
      </c>
      <c r="G110" s="586" t="s">
        <v>83</v>
      </c>
      <c r="H110" s="586"/>
      <c r="I110" s="179" t="s">
        <v>264</v>
      </c>
      <c r="J110" s="182" t="s">
        <v>362</v>
      </c>
      <c r="K110" s="178" t="s">
        <v>114</v>
      </c>
      <c r="L110" s="352">
        <v>21</v>
      </c>
      <c r="M110" s="181">
        <f>SUM(D110+F110)-L110</f>
        <v>26</v>
      </c>
      <c r="N110" s="352">
        <f>D110+F110</f>
        <v>47</v>
      </c>
    </row>
    <row r="111" spans="1:14" x14ac:dyDescent="0.2">
      <c r="A111" s="179"/>
      <c r="B111" s="586" t="s">
        <v>53</v>
      </c>
      <c r="C111" s="586"/>
      <c r="D111" s="187">
        <v>27</v>
      </c>
      <c r="E111" s="188"/>
      <c r="F111" s="179">
        <v>24</v>
      </c>
      <c r="G111" s="586" t="s">
        <v>49</v>
      </c>
      <c r="H111" s="586"/>
      <c r="I111" s="179" t="s">
        <v>313</v>
      </c>
      <c r="J111" s="182" t="s">
        <v>431</v>
      </c>
      <c r="K111" s="178" t="s">
        <v>117</v>
      </c>
      <c r="L111" s="181">
        <v>27</v>
      </c>
      <c r="M111" s="181">
        <f t="shared" ref="M111:M115" si="34">SUM(D111+F111)-L111</f>
        <v>24</v>
      </c>
      <c r="N111" s="181">
        <f t="shared" ref="N111:N115" si="35">D111+F111</f>
        <v>51</v>
      </c>
    </row>
    <row r="112" spans="1:14" x14ac:dyDescent="0.2">
      <c r="A112" s="179"/>
      <c r="B112" s="586" t="s">
        <v>57</v>
      </c>
      <c r="C112" s="586"/>
      <c r="D112" s="187">
        <v>38</v>
      </c>
      <c r="E112" s="188"/>
      <c r="F112" s="179">
        <v>26</v>
      </c>
      <c r="G112" s="586" t="s">
        <v>52</v>
      </c>
      <c r="H112" s="586"/>
      <c r="I112" s="179" t="s">
        <v>341</v>
      </c>
      <c r="J112" s="182" t="s">
        <v>470</v>
      </c>
      <c r="K112" s="178" t="s">
        <v>119</v>
      </c>
      <c r="L112" s="354">
        <v>57</v>
      </c>
      <c r="M112" s="352">
        <f t="shared" si="34"/>
        <v>7</v>
      </c>
      <c r="N112" s="181">
        <f t="shared" si="35"/>
        <v>64</v>
      </c>
    </row>
    <row r="113" spans="1:14" x14ac:dyDescent="0.2">
      <c r="A113" s="179"/>
      <c r="B113" s="586" t="s">
        <v>61</v>
      </c>
      <c r="C113" s="586"/>
      <c r="D113" s="187">
        <v>29</v>
      </c>
      <c r="E113" s="188"/>
      <c r="F113" s="179">
        <v>28</v>
      </c>
      <c r="G113" s="586" t="s">
        <v>51</v>
      </c>
      <c r="H113" s="586"/>
      <c r="I113" s="179" t="s">
        <v>313</v>
      </c>
      <c r="J113" s="182" t="s">
        <v>474</v>
      </c>
      <c r="K113" s="178" t="s">
        <v>109</v>
      </c>
      <c r="L113" s="181">
        <v>33</v>
      </c>
      <c r="M113" s="181">
        <f t="shared" si="34"/>
        <v>24</v>
      </c>
      <c r="N113" s="181">
        <f t="shared" si="35"/>
        <v>57</v>
      </c>
    </row>
    <row r="114" spans="1:14" x14ac:dyDescent="0.2">
      <c r="A114" s="179"/>
      <c r="B114" s="586" t="s">
        <v>66</v>
      </c>
      <c r="C114" s="586"/>
      <c r="D114" s="187">
        <v>45</v>
      </c>
      <c r="E114" s="188"/>
      <c r="F114" s="179">
        <v>33</v>
      </c>
      <c r="G114" s="586" t="s">
        <v>60</v>
      </c>
      <c r="H114" s="586"/>
      <c r="I114" s="179" t="s">
        <v>341</v>
      </c>
      <c r="J114" s="182" t="s">
        <v>475</v>
      </c>
      <c r="K114" s="178" t="s">
        <v>118</v>
      </c>
      <c r="L114" s="181">
        <v>38</v>
      </c>
      <c r="M114" s="354">
        <f t="shared" si="34"/>
        <v>40</v>
      </c>
      <c r="N114" s="354">
        <f t="shared" si="35"/>
        <v>78</v>
      </c>
    </row>
    <row r="115" spans="1:14" x14ac:dyDescent="0.2">
      <c r="A115" s="179"/>
      <c r="B115" s="586" t="s">
        <v>55</v>
      </c>
      <c r="C115" s="586"/>
      <c r="D115" s="187">
        <v>24</v>
      </c>
      <c r="E115" s="188"/>
      <c r="F115" s="179">
        <v>31</v>
      </c>
      <c r="G115" s="586" t="s">
        <v>63</v>
      </c>
      <c r="H115" s="586"/>
      <c r="I115" s="179" t="s">
        <v>237</v>
      </c>
      <c r="J115" s="186" t="s">
        <v>469</v>
      </c>
      <c r="K115" s="178" t="s">
        <v>115</v>
      </c>
      <c r="L115" s="181">
        <v>31</v>
      </c>
      <c r="M115" s="181">
        <f t="shared" si="34"/>
        <v>24</v>
      </c>
      <c r="N115" s="181">
        <f t="shared" si="35"/>
        <v>55</v>
      </c>
    </row>
    <row r="116" spans="1:14" x14ac:dyDescent="0.2">
      <c r="A116" s="588" t="s">
        <v>495</v>
      </c>
      <c r="B116" s="588"/>
      <c r="C116" s="588"/>
      <c r="D116" s="588"/>
      <c r="E116" s="588"/>
      <c r="F116" s="588"/>
      <c r="G116" s="588"/>
      <c r="H116" s="588"/>
      <c r="I116" s="588"/>
      <c r="J116" s="588"/>
      <c r="K116" s="593"/>
      <c r="L116" s="593"/>
      <c r="M116" s="593"/>
      <c r="N116" s="593"/>
    </row>
    <row r="117" spans="1:14" x14ac:dyDescent="0.2">
      <c r="A117" s="179"/>
      <c r="B117" s="586" t="s">
        <v>46</v>
      </c>
      <c r="C117" s="586"/>
      <c r="D117" s="187">
        <v>33</v>
      </c>
      <c r="E117" s="190"/>
      <c r="F117" s="179">
        <v>29</v>
      </c>
      <c r="G117" s="586" t="s">
        <v>53</v>
      </c>
      <c r="H117" s="586"/>
      <c r="I117" s="191"/>
      <c r="J117" s="182" t="s">
        <v>484</v>
      </c>
      <c r="K117" s="187" t="s">
        <v>114</v>
      </c>
      <c r="L117" s="354">
        <v>51</v>
      </c>
      <c r="M117" s="352">
        <f>SUM(D117+F117)-L117</f>
        <v>11</v>
      </c>
      <c r="N117" s="181">
        <f>D117+F117</f>
        <v>62</v>
      </c>
    </row>
    <row r="118" spans="1:14" x14ac:dyDescent="0.2">
      <c r="A118" s="179"/>
      <c r="B118" s="586" t="s">
        <v>61</v>
      </c>
      <c r="C118" s="586"/>
      <c r="D118" s="187">
        <v>22</v>
      </c>
      <c r="E118" s="190"/>
      <c r="F118" s="179">
        <v>34</v>
      </c>
      <c r="G118" s="586" t="s">
        <v>51</v>
      </c>
      <c r="H118" s="586"/>
      <c r="I118" s="191"/>
      <c r="J118" s="182" t="s">
        <v>486</v>
      </c>
      <c r="K118" s="187" t="s">
        <v>109</v>
      </c>
      <c r="L118" s="181">
        <v>35</v>
      </c>
      <c r="M118" s="181">
        <f t="shared" ref="M118:M120" si="36">SUM(D118+F118)-L118</f>
        <v>21</v>
      </c>
      <c r="N118" s="352">
        <f t="shared" ref="N118:N119" si="37">D118+F118</f>
        <v>56</v>
      </c>
    </row>
    <row r="119" spans="1:14" x14ac:dyDescent="0.2">
      <c r="A119" s="179"/>
      <c r="B119" s="586" t="s">
        <v>49</v>
      </c>
      <c r="C119" s="586"/>
      <c r="D119" s="187">
        <v>21</v>
      </c>
      <c r="E119" s="190"/>
      <c r="F119" s="179">
        <v>45</v>
      </c>
      <c r="G119" s="586" t="s">
        <v>57</v>
      </c>
      <c r="H119" s="586"/>
      <c r="I119" s="191"/>
      <c r="J119" s="182" t="s">
        <v>488</v>
      </c>
      <c r="K119" s="187" t="s">
        <v>108</v>
      </c>
      <c r="L119" s="181">
        <v>34</v>
      </c>
      <c r="M119" s="354">
        <f t="shared" si="36"/>
        <v>32</v>
      </c>
      <c r="N119" s="354">
        <f t="shared" si="37"/>
        <v>66</v>
      </c>
    </row>
    <row r="120" spans="1:14" x14ac:dyDescent="0.2">
      <c r="A120" s="179"/>
      <c r="B120" s="587" t="s">
        <v>60</v>
      </c>
      <c r="C120" s="587"/>
      <c r="D120" s="187">
        <v>30</v>
      </c>
      <c r="E120" s="190"/>
      <c r="F120" s="187">
        <v>28</v>
      </c>
      <c r="G120" s="587" t="s">
        <v>66</v>
      </c>
      <c r="H120" s="587"/>
      <c r="I120" s="193"/>
      <c r="J120" s="181" t="s">
        <v>491</v>
      </c>
      <c r="K120" s="187" t="s">
        <v>110</v>
      </c>
      <c r="L120" s="352">
        <v>27</v>
      </c>
      <c r="M120" s="181">
        <f t="shared" si="36"/>
        <v>31</v>
      </c>
      <c r="N120" s="181">
        <f>D120+F120</f>
        <v>58</v>
      </c>
    </row>
    <row r="121" spans="1:14" x14ac:dyDescent="0.2">
      <c r="A121" s="594" t="s">
        <v>496</v>
      </c>
      <c r="B121" s="594"/>
      <c r="C121" s="594"/>
      <c r="D121" s="594"/>
      <c r="E121" s="594"/>
      <c r="F121" s="594"/>
      <c r="G121" s="594"/>
      <c r="H121" s="594"/>
      <c r="I121" s="594"/>
      <c r="J121" s="594"/>
      <c r="K121" s="593"/>
      <c r="L121" s="593"/>
      <c r="M121" s="593"/>
      <c r="N121" s="593"/>
    </row>
    <row r="122" spans="1:14" x14ac:dyDescent="0.2">
      <c r="A122" s="179"/>
      <c r="B122" s="586" t="s">
        <v>46</v>
      </c>
      <c r="C122" s="586"/>
      <c r="D122" s="187">
        <v>23</v>
      </c>
      <c r="E122" s="190"/>
      <c r="F122" s="187">
        <v>17</v>
      </c>
      <c r="G122" s="587" t="s">
        <v>57</v>
      </c>
      <c r="H122" s="587"/>
      <c r="I122" s="193"/>
      <c r="J122" s="181" t="s">
        <v>508</v>
      </c>
      <c r="K122" s="194" t="s">
        <v>114</v>
      </c>
      <c r="L122" s="352">
        <v>17</v>
      </c>
      <c r="M122" s="354">
        <f>SUM(D122+F122)-L122</f>
        <v>23</v>
      </c>
      <c r="N122" s="352">
        <f>D122+F122</f>
        <v>40</v>
      </c>
    </row>
    <row r="123" spans="1:14" x14ac:dyDescent="0.2">
      <c r="A123" s="179"/>
      <c r="B123" s="586" t="s">
        <v>60</v>
      </c>
      <c r="C123" s="586"/>
      <c r="D123" s="187">
        <v>28</v>
      </c>
      <c r="E123" s="190"/>
      <c r="F123" s="187">
        <v>25</v>
      </c>
      <c r="G123" s="587" t="s">
        <v>51</v>
      </c>
      <c r="H123" s="587"/>
      <c r="I123" s="193"/>
      <c r="J123" s="181" t="s">
        <v>509</v>
      </c>
      <c r="K123" s="194" t="s">
        <v>110</v>
      </c>
      <c r="L123" s="354">
        <v>34</v>
      </c>
      <c r="M123" s="352">
        <f t="shared" ref="M123" si="38">SUM(D123+F123)-L123</f>
        <v>19</v>
      </c>
      <c r="N123" s="354">
        <f t="shared" ref="N123" si="39">D123+F123</f>
        <v>53</v>
      </c>
    </row>
    <row r="124" spans="1:14" x14ac:dyDescent="0.2">
      <c r="A124" s="189" t="s">
        <v>107</v>
      </c>
      <c r="B124" s="589"/>
      <c r="C124" s="589"/>
      <c r="D124" s="589"/>
      <c r="E124" s="589"/>
      <c r="F124" s="589"/>
      <c r="G124" s="589"/>
      <c r="H124" s="589"/>
      <c r="I124" s="589"/>
      <c r="J124" s="589"/>
      <c r="K124" s="590"/>
      <c r="L124" s="590"/>
      <c r="M124" s="590"/>
      <c r="N124" s="590"/>
    </row>
    <row r="125" spans="1:14" x14ac:dyDescent="0.2">
      <c r="A125" s="179"/>
      <c r="B125" s="586" t="s">
        <v>60</v>
      </c>
      <c r="C125" s="586"/>
      <c r="D125" s="187">
        <v>11</v>
      </c>
      <c r="E125" s="190"/>
      <c r="F125" s="187">
        <v>20</v>
      </c>
      <c r="G125" s="587" t="s">
        <v>46</v>
      </c>
      <c r="H125" s="587"/>
      <c r="I125" s="193"/>
      <c r="J125" s="608" t="s">
        <v>514</v>
      </c>
      <c r="K125" s="178" t="s">
        <v>118</v>
      </c>
      <c r="L125" s="181">
        <v>22</v>
      </c>
      <c r="M125" s="181">
        <f t="shared" ref="M125" si="40">SUM(D125+F125)-L125</f>
        <v>9</v>
      </c>
      <c r="N125" s="181">
        <f t="shared" ref="N125" si="41">D125+F125</f>
        <v>31</v>
      </c>
    </row>
    <row r="126" spans="1:14" x14ac:dyDescent="0.2">
      <c r="A126" s="178"/>
      <c r="B126" s="591"/>
      <c r="C126" s="591"/>
      <c r="D126" s="192"/>
      <c r="G126" s="592"/>
      <c r="H126" s="592"/>
      <c r="J126" s="181"/>
      <c r="M126" s="181"/>
    </row>
    <row r="127" spans="1:14" x14ac:dyDescent="0.2">
      <c r="D127" s="178">
        <f>SUM(D1:D125)</f>
        <v>2740</v>
      </c>
      <c r="F127" s="178">
        <f>SUM(F1:F126)</f>
        <v>2671</v>
      </c>
      <c r="G127" s="178">
        <f>SUM(D127+F127)</f>
        <v>5411</v>
      </c>
      <c r="J127" s="181"/>
      <c r="M127" s="181"/>
    </row>
    <row r="129" spans="1:1" x14ac:dyDescent="0.2">
      <c r="A129" s="178" t="s">
        <v>429</v>
      </c>
    </row>
  </sheetData>
  <mergeCells count="245">
    <mergeCell ref="B5:C5"/>
    <mergeCell ref="G5:H5"/>
    <mergeCell ref="B6:C6"/>
    <mergeCell ref="G6:H6"/>
    <mergeCell ref="B7:C7"/>
    <mergeCell ref="G7:H7"/>
    <mergeCell ref="B1:C1"/>
    <mergeCell ref="G1:H1"/>
    <mergeCell ref="B2:N2"/>
    <mergeCell ref="B3:C3"/>
    <mergeCell ref="G3:H3"/>
    <mergeCell ref="B4:C4"/>
    <mergeCell ref="G4:H4"/>
    <mergeCell ref="B10:C10"/>
    <mergeCell ref="G10:H10"/>
    <mergeCell ref="B11:C11"/>
    <mergeCell ref="G11:H11"/>
    <mergeCell ref="B12:C12"/>
    <mergeCell ref="G12:H12"/>
    <mergeCell ref="B8:C8"/>
    <mergeCell ref="G8:H8"/>
    <mergeCell ref="B9:N9"/>
    <mergeCell ref="B16:N16"/>
    <mergeCell ref="B17:C17"/>
    <mergeCell ref="G17:H17"/>
    <mergeCell ref="B13:C13"/>
    <mergeCell ref="G13:H13"/>
    <mergeCell ref="B14:C14"/>
    <mergeCell ref="G14:H14"/>
    <mergeCell ref="B15:C15"/>
    <mergeCell ref="G15:H15"/>
    <mergeCell ref="B21:C21"/>
    <mergeCell ref="G21:H21"/>
    <mergeCell ref="B22:C22"/>
    <mergeCell ref="G22:H22"/>
    <mergeCell ref="B18:C18"/>
    <mergeCell ref="G18:H18"/>
    <mergeCell ref="B19:C19"/>
    <mergeCell ref="G19:H19"/>
    <mergeCell ref="B20:C20"/>
    <mergeCell ref="G20:H20"/>
    <mergeCell ref="B27:C27"/>
    <mergeCell ref="G27:H27"/>
    <mergeCell ref="B28:C28"/>
    <mergeCell ref="G28:H28"/>
    <mergeCell ref="B29:C29"/>
    <mergeCell ref="G29:H29"/>
    <mergeCell ref="B23:N23"/>
    <mergeCell ref="B24:C24"/>
    <mergeCell ref="G24:H24"/>
    <mergeCell ref="B25:C25"/>
    <mergeCell ref="G25:H25"/>
    <mergeCell ref="B26:C26"/>
    <mergeCell ref="G26:H26"/>
    <mergeCell ref="B33:C33"/>
    <mergeCell ref="G33:H33"/>
    <mergeCell ref="B34:C34"/>
    <mergeCell ref="G34:H34"/>
    <mergeCell ref="B30:N30"/>
    <mergeCell ref="B31:C31"/>
    <mergeCell ref="G31:H31"/>
    <mergeCell ref="B32:C32"/>
    <mergeCell ref="G32:H32"/>
    <mergeCell ref="B41:N41"/>
    <mergeCell ref="B42:C42"/>
    <mergeCell ref="G42:H42"/>
    <mergeCell ref="B39:C39"/>
    <mergeCell ref="G39:H39"/>
    <mergeCell ref="B40:C40"/>
    <mergeCell ref="G40:H40"/>
    <mergeCell ref="B35:N35"/>
    <mergeCell ref="B36:C36"/>
    <mergeCell ref="G36:H36"/>
    <mergeCell ref="B37:C37"/>
    <mergeCell ref="G37:H37"/>
    <mergeCell ref="B38:C38"/>
    <mergeCell ref="G38:H38"/>
    <mergeCell ref="B47:J47"/>
    <mergeCell ref="K47:N47"/>
    <mergeCell ref="B48:C48"/>
    <mergeCell ref="G48:H48"/>
    <mergeCell ref="B46:C46"/>
    <mergeCell ref="G46:H46"/>
    <mergeCell ref="B43:C43"/>
    <mergeCell ref="G43:H43"/>
    <mergeCell ref="B44:C44"/>
    <mergeCell ref="G44:H44"/>
    <mergeCell ref="B45:C45"/>
    <mergeCell ref="G45:H45"/>
    <mergeCell ref="B53:J53"/>
    <mergeCell ref="K53:N53"/>
    <mergeCell ref="B54:C54"/>
    <mergeCell ref="G54:H54"/>
    <mergeCell ref="B52:C52"/>
    <mergeCell ref="G52:H52"/>
    <mergeCell ref="B49:C49"/>
    <mergeCell ref="G49:H49"/>
    <mergeCell ref="B50:C50"/>
    <mergeCell ref="G50:H50"/>
    <mergeCell ref="B51:C51"/>
    <mergeCell ref="G51:H51"/>
    <mergeCell ref="B59:J59"/>
    <mergeCell ref="K59:N59"/>
    <mergeCell ref="B60:C60"/>
    <mergeCell ref="G60:H60"/>
    <mergeCell ref="B58:C58"/>
    <mergeCell ref="G58:H58"/>
    <mergeCell ref="B55:C55"/>
    <mergeCell ref="G55:H55"/>
    <mergeCell ref="B56:C56"/>
    <mergeCell ref="G56:H56"/>
    <mergeCell ref="B57:C57"/>
    <mergeCell ref="G57:H57"/>
    <mergeCell ref="B65:J65"/>
    <mergeCell ref="K65:N65"/>
    <mergeCell ref="B66:C66"/>
    <mergeCell ref="G66:H66"/>
    <mergeCell ref="B64:C64"/>
    <mergeCell ref="G64:H64"/>
    <mergeCell ref="B61:C61"/>
    <mergeCell ref="G61:H61"/>
    <mergeCell ref="B62:C62"/>
    <mergeCell ref="G62:H62"/>
    <mergeCell ref="B63:C63"/>
    <mergeCell ref="G63:H63"/>
    <mergeCell ref="B71:J71"/>
    <mergeCell ref="K71:N71"/>
    <mergeCell ref="B72:C72"/>
    <mergeCell ref="G72:H72"/>
    <mergeCell ref="B70:C70"/>
    <mergeCell ref="G70:H70"/>
    <mergeCell ref="B67:C67"/>
    <mergeCell ref="G67:H67"/>
    <mergeCell ref="B68:C68"/>
    <mergeCell ref="G68:H68"/>
    <mergeCell ref="B69:C69"/>
    <mergeCell ref="G69:H69"/>
    <mergeCell ref="B77:J77"/>
    <mergeCell ref="K77:N77"/>
    <mergeCell ref="B78:C78"/>
    <mergeCell ref="G78:H78"/>
    <mergeCell ref="B76:C76"/>
    <mergeCell ref="G76:H76"/>
    <mergeCell ref="B73:C73"/>
    <mergeCell ref="G73:H73"/>
    <mergeCell ref="B74:C74"/>
    <mergeCell ref="G74:H74"/>
    <mergeCell ref="B75:C75"/>
    <mergeCell ref="G75:H75"/>
    <mergeCell ref="B82:J82"/>
    <mergeCell ref="K82:N82"/>
    <mergeCell ref="B83:C83"/>
    <mergeCell ref="G83:H83"/>
    <mergeCell ref="B79:C79"/>
    <mergeCell ref="G79:H79"/>
    <mergeCell ref="B80:C80"/>
    <mergeCell ref="G80:H80"/>
    <mergeCell ref="B81:C81"/>
    <mergeCell ref="G81:H81"/>
    <mergeCell ref="B88:J88"/>
    <mergeCell ref="K88:N88"/>
    <mergeCell ref="B89:C89"/>
    <mergeCell ref="G89:H89"/>
    <mergeCell ref="B87:C87"/>
    <mergeCell ref="G87:H87"/>
    <mergeCell ref="B84:C84"/>
    <mergeCell ref="G84:H84"/>
    <mergeCell ref="B85:C85"/>
    <mergeCell ref="G85:H85"/>
    <mergeCell ref="B86:C86"/>
    <mergeCell ref="G86:H86"/>
    <mergeCell ref="B95:J95"/>
    <mergeCell ref="K95:N95"/>
    <mergeCell ref="B96:C96"/>
    <mergeCell ref="G96:H96"/>
    <mergeCell ref="B93:C93"/>
    <mergeCell ref="G93:H93"/>
    <mergeCell ref="B94:C94"/>
    <mergeCell ref="G94:H94"/>
    <mergeCell ref="B90:C90"/>
    <mergeCell ref="G90:H90"/>
    <mergeCell ref="B91:C91"/>
    <mergeCell ref="G91:H91"/>
    <mergeCell ref="B92:C92"/>
    <mergeCell ref="G92:H92"/>
    <mergeCell ref="B100:C100"/>
    <mergeCell ref="G100:H100"/>
    <mergeCell ref="B101:C101"/>
    <mergeCell ref="G101:H101"/>
    <mergeCell ref="B97:C97"/>
    <mergeCell ref="G97:H97"/>
    <mergeCell ref="B98:C98"/>
    <mergeCell ref="G98:H98"/>
    <mergeCell ref="B99:C99"/>
    <mergeCell ref="G99:H99"/>
    <mergeCell ref="K116:N116"/>
    <mergeCell ref="B117:C117"/>
    <mergeCell ref="G117:H117"/>
    <mergeCell ref="B102:J102"/>
    <mergeCell ref="K102:N102"/>
    <mergeCell ref="B104:C104"/>
    <mergeCell ref="G104:H104"/>
    <mergeCell ref="B103:C103"/>
    <mergeCell ref="G103:H103"/>
    <mergeCell ref="B108:C108"/>
    <mergeCell ref="G108:H108"/>
    <mergeCell ref="B109:J109"/>
    <mergeCell ref="K109:N109"/>
    <mergeCell ref="B110:C110"/>
    <mergeCell ref="G110:H110"/>
    <mergeCell ref="B105:C105"/>
    <mergeCell ref="G105:H105"/>
    <mergeCell ref="B106:C106"/>
    <mergeCell ref="G106:H106"/>
    <mergeCell ref="B107:C107"/>
    <mergeCell ref="G107:H107"/>
    <mergeCell ref="B114:C114"/>
    <mergeCell ref="G114:H114"/>
    <mergeCell ref="B115:C115"/>
    <mergeCell ref="B124:J124"/>
    <mergeCell ref="K124:N124"/>
    <mergeCell ref="B125:C125"/>
    <mergeCell ref="G125:H125"/>
    <mergeCell ref="B126:C126"/>
    <mergeCell ref="G126:H126"/>
    <mergeCell ref="K121:N121"/>
    <mergeCell ref="B122:C122"/>
    <mergeCell ref="G122:H122"/>
    <mergeCell ref="B123:C123"/>
    <mergeCell ref="G123:H123"/>
    <mergeCell ref="A121:J121"/>
    <mergeCell ref="G115:H115"/>
    <mergeCell ref="G120:H120"/>
    <mergeCell ref="G119:H119"/>
    <mergeCell ref="B120:C120"/>
    <mergeCell ref="B119:C119"/>
    <mergeCell ref="B111:C111"/>
    <mergeCell ref="G111:H111"/>
    <mergeCell ref="B112:C112"/>
    <mergeCell ref="G112:H112"/>
    <mergeCell ref="B113:C113"/>
    <mergeCell ref="G113:H113"/>
    <mergeCell ref="B118:C118"/>
    <mergeCell ref="G118:H118"/>
    <mergeCell ref="A116:J116"/>
  </mergeCells>
  <pageMargins left="0.7" right="0.7" top="0.75" bottom="0.75" header="0.3" footer="0.3"/>
  <ignoredErrors>
    <ignoredError sqref="J6:J7 J15 J17 J20 J22 J24" twoDigitTextYear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D3918-E762-5D40-855E-E49CDC6034A5}">
  <dimension ref="A1:I18"/>
  <sheetViews>
    <sheetView workbookViewId="0"/>
  </sheetViews>
  <sheetFormatPr baseColWidth="10" defaultColWidth="11.5" defaultRowHeight="16" x14ac:dyDescent="0.2"/>
  <cols>
    <col min="2" max="2" width="17.83203125" customWidth="1"/>
    <col min="3" max="3" width="4.83203125" customWidth="1"/>
    <col min="4" max="4" width="17.83203125" customWidth="1"/>
    <col min="5" max="5" width="3.83203125" customWidth="1"/>
    <col min="6" max="6" width="17.83203125" customWidth="1"/>
    <col min="7" max="7" width="5.33203125" customWidth="1"/>
    <col min="8" max="8" width="20.83203125" customWidth="1"/>
    <col min="9" max="9" width="5.1640625" customWidth="1"/>
  </cols>
  <sheetData>
    <row r="1" spans="2:9" ht="17" thickBot="1" x14ac:dyDescent="0.25"/>
    <row r="2" spans="2:9" ht="17" thickBot="1" x14ac:dyDescent="0.25">
      <c r="B2" s="195" t="s">
        <v>120</v>
      </c>
      <c r="C2" s="196"/>
      <c r="D2" s="197" t="s">
        <v>121</v>
      </c>
      <c r="E2" s="197"/>
      <c r="F2" s="204" t="s">
        <v>122</v>
      </c>
      <c r="G2" s="204"/>
      <c r="H2" s="198" t="s">
        <v>123</v>
      </c>
      <c r="I2" s="198"/>
    </row>
    <row r="3" spans="2:9" ht="17" thickBot="1" x14ac:dyDescent="0.25">
      <c r="B3" s="199" t="s">
        <v>51</v>
      </c>
      <c r="C3" s="200">
        <f>daltriesscored</f>
        <v>71</v>
      </c>
      <c r="D3" s="203" t="s">
        <v>61</v>
      </c>
      <c r="E3" s="201">
        <f>houtrybonusscored</f>
        <v>11</v>
      </c>
      <c r="F3" s="205" t="s">
        <v>66</v>
      </c>
      <c r="G3" s="206">
        <f>sdltriesconceded</f>
        <v>45</v>
      </c>
      <c r="H3" s="207" t="s">
        <v>66</v>
      </c>
      <c r="I3" s="202">
        <f>sdltrybonusconceded</f>
        <v>3</v>
      </c>
    </row>
    <row r="4" spans="2:9" ht="17" thickBot="1" x14ac:dyDescent="0.25">
      <c r="B4" s="199" t="s">
        <v>61</v>
      </c>
      <c r="C4" s="200">
        <f>houtriesscored</f>
        <v>66</v>
      </c>
      <c r="D4" s="203" t="s">
        <v>51</v>
      </c>
      <c r="E4" s="201">
        <f>daltrybonusscored</f>
        <v>10</v>
      </c>
      <c r="F4" s="205" t="s">
        <v>46</v>
      </c>
      <c r="G4" s="206">
        <f>newtriesconceded</f>
        <v>45</v>
      </c>
      <c r="H4" s="207" t="s">
        <v>46</v>
      </c>
      <c r="I4" s="202">
        <f>newtrybonusconceded</f>
        <v>3</v>
      </c>
    </row>
    <row r="5" spans="2:9" ht="17" thickBot="1" x14ac:dyDescent="0.25">
      <c r="B5" s="199" t="s">
        <v>46</v>
      </c>
      <c r="C5" s="200">
        <f>newtriesscored</f>
        <v>65</v>
      </c>
      <c r="D5" s="203" t="s">
        <v>60</v>
      </c>
      <c r="E5" s="201">
        <f>seatrybonusscored</f>
        <v>9</v>
      </c>
      <c r="F5" s="205" t="s">
        <v>61</v>
      </c>
      <c r="G5" s="206">
        <f>houtriesconceded</f>
        <v>47</v>
      </c>
      <c r="H5" s="207" t="s">
        <v>61</v>
      </c>
      <c r="I5" s="202">
        <f>houtrybonusconceded</f>
        <v>5</v>
      </c>
    </row>
    <row r="6" spans="2:9" ht="17" thickBot="1" x14ac:dyDescent="0.25">
      <c r="B6" s="199" t="s">
        <v>57</v>
      </c>
      <c r="C6" s="200">
        <f>chitriesscored</f>
        <v>65</v>
      </c>
      <c r="D6" s="203" t="s">
        <v>63</v>
      </c>
      <c r="E6" s="201">
        <f>latrybonusscored</f>
        <v>8</v>
      </c>
      <c r="F6" s="205" t="s">
        <v>49</v>
      </c>
      <c r="G6" s="206">
        <f>nolatriesconceded</f>
        <v>47</v>
      </c>
      <c r="H6" s="207" t="s">
        <v>52</v>
      </c>
      <c r="I6" s="202">
        <f>miatrybonusconceded</f>
        <v>5</v>
      </c>
    </row>
    <row r="7" spans="2:9" ht="17" thickBot="1" x14ac:dyDescent="0.25">
      <c r="B7" s="199" t="s">
        <v>60</v>
      </c>
      <c r="C7" s="200">
        <f>seatriesscored</f>
        <v>64</v>
      </c>
      <c r="D7" s="203" t="s">
        <v>46</v>
      </c>
      <c r="E7" s="201">
        <f>newtrybonusscored</f>
        <v>8</v>
      </c>
      <c r="F7" s="205" t="s">
        <v>60</v>
      </c>
      <c r="G7" s="206">
        <f>seatriesconceded</f>
        <v>49</v>
      </c>
      <c r="H7" s="207" t="s">
        <v>49</v>
      </c>
      <c r="I7" s="202">
        <f>nolatrybonusconceded</f>
        <v>5</v>
      </c>
    </row>
    <row r="8" spans="2:9" ht="17" thickBot="1" x14ac:dyDescent="0.25">
      <c r="B8" s="199" t="s">
        <v>55</v>
      </c>
      <c r="C8" s="200">
        <f>utatriesscored</f>
        <v>60</v>
      </c>
      <c r="D8" s="203" t="s">
        <v>49</v>
      </c>
      <c r="E8" s="201">
        <f>nolatrybonusscored</f>
        <v>8</v>
      </c>
      <c r="F8" s="205" t="s">
        <v>52</v>
      </c>
      <c r="G8" s="206">
        <f>miatriesconceded</f>
        <v>51</v>
      </c>
      <c r="H8" s="207" t="s">
        <v>57</v>
      </c>
      <c r="I8" s="202">
        <f>chitrybonusconceded</f>
        <v>6</v>
      </c>
    </row>
    <row r="9" spans="2:9" ht="17" thickBot="1" x14ac:dyDescent="0.25">
      <c r="B9" s="199" t="s">
        <v>49</v>
      </c>
      <c r="C9" s="200">
        <f>nolatriesscored</f>
        <v>58</v>
      </c>
      <c r="D9" s="203" t="s">
        <v>66</v>
      </c>
      <c r="E9" s="201">
        <f>sdltrybonusscored</f>
        <v>7</v>
      </c>
      <c r="F9" s="205" t="s">
        <v>57</v>
      </c>
      <c r="G9" s="206">
        <f>chitriesconceded</f>
        <v>51</v>
      </c>
      <c r="H9" s="207" t="s">
        <v>60</v>
      </c>
      <c r="I9" s="202">
        <f>seatrybonusconceded</f>
        <v>7</v>
      </c>
    </row>
    <row r="10" spans="2:9" ht="17" thickBot="1" x14ac:dyDescent="0.25">
      <c r="B10" s="199" t="s">
        <v>63</v>
      </c>
      <c r="C10" s="200">
        <f>latriesscored</f>
        <v>54</v>
      </c>
      <c r="D10" s="203" t="s">
        <v>57</v>
      </c>
      <c r="E10" s="201">
        <f>chitrybonusscored</f>
        <v>7</v>
      </c>
      <c r="F10" s="205" t="s">
        <v>53</v>
      </c>
      <c r="G10" s="206">
        <f>ogdctriesconceded</f>
        <v>57</v>
      </c>
      <c r="H10" s="207" t="s">
        <v>55</v>
      </c>
      <c r="I10" s="202">
        <f>utatrybonusconceded</f>
        <v>8</v>
      </c>
    </row>
    <row r="11" spans="2:9" ht="17" thickBot="1" x14ac:dyDescent="0.25">
      <c r="B11" s="199" t="s">
        <v>66</v>
      </c>
      <c r="C11" s="200">
        <f>sdltriesscored</f>
        <v>51</v>
      </c>
      <c r="D11" s="203" t="s">
        <v>55</v>
      </c>
      <c r="E11" s="201">
        <f>utatrybonusscored</f>
        <v>7</v>
      </c>
      <c r="F11" s="205" t="s">
        <v>51</v>
      </c>
      <c r="G11" s="206">
        <f>daltriesconceded</f>
        <v>63</v>
      </c>
      <c r="H11" s="207" t="s">
        <v>53</v>
      </c>
      <c r="I11" s="202">
        <f>ogdctrybonusconceded</f>
        <v>10</v>
      </c>
    </row>
    <row r="12" spans="2:9" ht="17" thickBot="1" x14ac:dyDescent="0.25">
      <c r="B12" s="199" t="s">
        <v>53</v>
      </c>
      <c r="C12" s="200">
        <f>ogdctriesscored</f>
        <v>50</v>
      </c>
      <c r="D12" s="203" t="s">
        <v>83</v>
      </c>
      <c r="E12" s="201">
        <f>anttrybonusscored</f>
        <v>6</v>
      </c>
      <c r="F12" s="205" t="s">
        <v>55</v>
      </c>
      <c r="G12" s="206">
        <f>utatriesconceded</f>
        <v>67</v>
      </c>
      <c r="H12" s="207" t="s">
        <v>51</v>
      </c>
      <c r="I12" s="202">
        <f>daltrybonusconceded</f>
        <v>11</v>
      </c>
    </row>
    <row r="13" spans="2:9" ht="17" thickBot="1" x14ac:dyDescent="0.25">
      <c r="B13" s="199" t="s">
        <v>83</v>
      </c>
      <c r="C13" s="200">
        <f>anttriesscored</f>
        <v>47</v>
      </c>
      <c r="D13" s="203" t="s">
        <v>53</v>
      </c>
      <c r="E13" s="201">
        <f>ogdctrybonusscored</f>
        <v>6</v>
      </c>
      <c r="F13" s="205" t="s">
        <v>63</v>
      </c>
      <c r="G13" s="206">
        <f>latriesconceded</f>
        <v>67</v>
      </c>
      <c r="H13" s="207" t="s">
        <v>63</v>
      </c>
      <c r="I13" s="202">
        <f>latrybonusconceded</f>
        <v>12</v>
      </c>
    </row>
    <row r="14" spans="2:9" ht="17" thickBot="1" x14ac:dyDescent="0.25">
      <c r="B14" s="199" t="s">
        <v>52</v>
      </c>
      <c r="C14" s="200">
        <f>miatriesscored</f>
        <v>40</v>
      </c>
      <c r="D14" s="203" t="s">
        <v>52</v>
      </c>
      <c r="E14" s="201">
        <f>miatrybonusscored</f>
        <v>4</v>
      </c>
      <c r="F14" s="205" t="s">
        <v>83</v>
      </c>
      <c r="G14" s="206">
        <f>anttriesconceded</f>
        <v>102</v>
      </c>
      <c r="H14" s="207" t="s">
        <v>83</v>
      </c>
      <c r="I14" s="202">
        <f>anttrybonusconceded</f>
        <v>16</v>
      </c>
    </row>
    <row r="16" spans="2:9" x14ac:dyDescent="0.2">
      <c r="B16" s="208" t="s">
        <v>124</v>
      </c>
      <c r="C16" s="209">
        <f>SUM(C3:C14)</f>
        <v>691</v>
      </c>
      <c r="D16" s="209"/>
      <c r="E16" s="209">
        <f t="shared" ref="E16:I16" si="0">SUM(E3:E14)</f>
        <v>91</v>
      </c>
      <c r="F16" s="209"/>
      <c r="G16" s="209">
        <f t="shared" si="0"/>
        <v>691</v>
      </c>
      <c r="H16" s="209"/>
      <c r="I16" s="209">
        <f t="shared" si="0"/>
        <v>91</v>
      </c>
    </row>
    <row r="18" spans="1:1" x14ac:dyDescent="0.2">
      <c r="A18" s="178" t="s">
        <v>429</v>
      </c>
    </row>
  </sheetData>
  <sortState xmlns:xlrd2="http://schemas.microsoft.com/office/spreadsheetml/2017/richdata2" ref="H3:I14">
    <sortCondition ref="I3:I14"/>
    <sortCondition ref="H3:H14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F7CDA-4F8A-9242-8ED6-84E84CAACD55}">
  <dimension ref="A1:O53"/>
  <sheetViews>
    <sheetView workbookViewId="0">
      <selection sqref="A1:C1"/>
    </sheetView>
  </sheetViews>
  <sheetFormatPr baseColWidth="10" defaultColWidth="11.5" defaultRowHeight="16" x14ac:dyDescent="0.2"/>
  <cols>
    <col min="1" max="1" width="4.1640625" customWidth="1"/>
    <col min="2" max="2" width="6.6640625" customWidth="1"/>
    <col min="3" max="3" width="17.83203125" customWidth="1"/>
    <col min="4" max="4" width="6.1640625" customWidth="1"/>
    <col min="5" max="9" width="5.1640625" customWidth="1"/>
    <col min="10" max="12" width="6.83203125" customWidth="1"/>
  </cols>
  <sheetData>
    <row r="1" spans="1:15" x14ac:dyDescent="0.2">
      <c r="A1" s="598" t="s">
        <v>131</v>
      </c>
      <c r="B1" s="598"/>
      <c r="C1" s="598"/>
    </row>
    <row r="2" spans="1:15" x14ac:dyDescent="0.2">
      <c r="A2" s="598"/>
      <c r="B2" s="598"/>
      <c r="C2" s="209"/>
    </row>
    <row r="3" spans="1:15" x14ac:dyDescent="0.2">
      <c r="A3" s="326" t="s">
        <v>125</v>
      </c>
      <c r="B3" s="327" t="s">
        <v>126</v>
      </c>
      <c r="C3" s="328" t="s">
        <v>238</v>
      </c>
      <c r="D3" s="327" t="s">
        <v>29</v>
      </c>
      <c r="E3" s="328" t="s">
        <v>30</v>
      </c>
      <c r="F3" s="327" t="s">
        <v>26</v>
      </c>
      <c r="G3" s="327" t="s">
        <v>31</v>
      </c>
      <c r="H3" s="327" t="s">
        <v>20</v>
      </c>
      <c r="I3" s="327" t="s">
        <v>21</v>
      </c>
      <c r="J3" s="328" t="s">
        <v>127</v>
      </c>
      <c r="K3" s="327" t="s">
        <v>128</v>
      </c>
      <c r="L3" s="328" t="s">
        <v>129</v>
      </c>
    </row>
    <row r="4" spans="1:15" x14ac:dyDescent="0.2">
      <c r="A4" s="390" t="s">
        <v>25</v>
      </c>
      <c r="B4" s="391" t="s">
        <v>130</v>
      </c>
      <c r="C4" s="392" t="s">
        <v>61</v>
      </c>
      <c r="D4" s="392">
        <f>houplayed</f>
        <v>16</v>
      </c>
      <c r="E4" s="393">
        <f>houwon</f>
        <v>14</v>
      </c>
      <c r="F4" s="392">
        <f>houdrawn</f>
        <v>0</v>
      </c>
      <c r="G4" s="392">
        <f>houlost</f>
        <v>2</v>
      </c>
      <c r="H4" s="392">
        <f>houpointsscored</f>
        <v>478</v>
      </c>
      <c r="I4" s="392">
        <f>houpointsconceded</f>
        <v>347</v>
      </c>
      <c r="J4" s="393">
        <f>H4-I4</f>
        <v>131</v>
      </c>
      <c r="K4" s="392">
        <f>houtrybonusscored+houlosingbonusscored</f>
        <v>11</v>
      </c>
      <c r="L4" s="393">
        <f>SUM(E4*4+F4*2+K4)</f>
        <v>67</v>
      </c>
    </row>
    <row r="5" spans="1:15" x14ac:dyDescent="0.2">
      <c r="A5" s="392">
        <v>2</v>
      </c>
      <c r="B5" s="391" t="s">
        <v>130</v>
      </c>
      <c r="C5" s="392" t="s">
        <v>60</v>
      </c>
      <c r="D5" s="392">
        <f>seaplayed</f>
        <v>16</v>
      </c>
      <c r="E5" s="393">
        <f>seawon</f>
        <v>11</v>
      </c>
      <c r="F5" s="392">
        <f>seadrawn</f>
        <v>0</v>
      </c>
      <c r="G5" s="392">
        <f>sealost</f>
        <v>5</v>
      </c>
      <c r="H5" s="392">
        <f>seapointsscored</f>
        <v>498</v>
      </c>
      <c r="I5" s="392">
        <f>seapointsconceded</f>
        <v>373</v>
      </c>
      <c r="J5" s="393">
        <f>H5-I5</f>
        <v>125</v>
      </c>
      <c r="K5" s="392">
        <f>seatrybonusscored+sealosingbonusscored</f>
        <v>13</v>
      </c>
      <c r="L5" s="393">
        <f>SUM(E5*4+F5*2+K5)</f>
        <v>57</v>
      </c>
    </row>
    <row r="6" spans="1:15" x14ac:dyDescent="0.2">
      <c r="A6" s="387">
        <v>3</v>
      </c>
      <c r="B6" s="388" t="s">
        <v>130</v>
      </c>
      <c r="C6" s="387" t="s">
        <v>66</v>
      </c>
      <c r="D6" s="387">
        <f>sdlplayed</f>
        <v>16</v>
      </c>
      <c r="E6" s="389">
        <f>sdlwon</f>
        <v>11</v>
      </c>
      <c r="F6" s="387">
        <f>sdldrawn</f>
        <v>0</v>
      </c>
      <c r="G6" s="387">
        <f>sdllost</f>
        <v>5</v>
      </c>
      <c r="H6" s="387">
        <f>sdlpointsscored</f>
        <v>402</v>
      </c>
      <c r="I6" s="387">
        <f>sdlpointsconceded</f>
        <v>360</v>
      </c>
      <c r="J6" s="389">
        <f>H6-I6</f>
        <v>42</v>
      </c>
      <c r="K6" s="387">
        <f>sdltrybonusscored+sdllosingbonusscored</f>
        <v>11</v>
      </c>
      <c r="L6" s="389">
        <f>SUM(E6*4+F6*2+K6)</f>
        <v>55</v>
      </c>
    </row>
    <row r="7" spans="1:15" x14ac:dyDescent="0.2">
      <c r="A7" s="387">
        <v>4</v>
      </c>
      <c r="B7" s="388" t="s">
        <v>130</v>
      </c>
      <c r="C7" s="387" t="s">
        <v>51</v>
      </c>
      <c r="D7" s="387">
        <f>dalplayed</f>
        <v>16</v>
      </c>
      <c r="E7" s="389">
        <f>dalwon</f>
        <v>6</v>
      </c>
      <c r="F7" s="387">
        <f>daldrawn</f>
        <v>0</v>
      </c>
      <c r="G7" s="387">
        <f>dallost</f>
        <v>10</v>
      </c>
      <c r="H7" s="387">
        <f>dalpointsscored</f>
        <v>485</v>
      </c>
      <c r="I7" s="387">
        <f>dalpointsconceded</f>
        <v>447</v>
      </c>
      <c r="J7" s="389">
        <f>H7-I7</f>
        <v>38</v>
      </c>
      <c r="K7" s="387">
        <f>daltrybonusscored+dallosingbonusscored</f>
        <v>19</v>
      </c>
      <c r="L7" s="389">
        <f>SUM(E7*4+F7*2+K7)</f>
        <v>43</v>
      </c>
    </row>
    <row r="8" spans="1:15" x14ac:dyDescent="0.2">
      <c r="A8" s="329">
        <v>5</v>
      </c>
      <c r="B8" s="330" t="s">
        <v>130</v>
      </c>
      <c r="C8" s="329" t="s">
        <v>55</v>
      </c>
      <c r="D8" s="329">
        <f>utaplayed</f>
        <v>16</v>
      </c>
      <c r="E8" s="331">
        <f>utawon</f>
        <v>5</v>
      </c>
      <c r="F8" s="329">
        <f>utadrawn</f>
        <v>0</v>
      </c>
      <c r="G8" s="329">
        <f>utalost</f>
        <v>11</v>
      </c>
      <c r="H8" s="329">
        <f>utapointsscored</f>
        <v>424</v>
      </c>
      <c r="I8" s="329">
        <f>utapointsconceded</f>
        <v>471</v>
      </c>
      <c r="J8" s="331">
        <f>H8-I8</f>
        <v>-47</v>
      </c>
      <c r="K8" s="329">
        <f>utatrybonusscored+utalosingbonusscored</f>
        <v>15</v>
      </c>
      <c r="L8" s="331">
        <f>SUM(E8*4+F8*2+K8)</f>
        <v>35</v>
      </c>
    </row>
    <row r="9" spans="1:15" x14ac:dyDescent="0.2">
      <c r="A9" s="329">
        <v>6</v>
      </c>
      <c r="B9" s="330" t="s">
        <v>130</v>
      </c>
      <c r="C9" s="329" t="s">
        <v>63</v>
      </c>
      <c r="D9" s="329">
        <f>laplayed</f>
        <v>16</v>
      </c>
      <c r="E9" s="331">
        <f>lawon</f>
        <v>5</v>
      </c>
      <c r="F9" s="329">
        <f>ladrawn</f>
        <v>1</v>
      </c>
      <c r="G9" s="329">
        <f>lalost</f>
        <v>10</v>
      </c>
      <c r="H9" s="329">
        <f>lapointsscored</f>
        <v>367</v>
      </c>
      <c r="I9" s="329">
        <f>lapointsconceded</f>
        <v>473</v>
      </c>
      <c r="J9" s="331">
        <f t="shared" ref="J9" si="0">H9-I9</f>
        <v>-106</v>
      </c>
      <c r="K9" s="329">
        <f>latrybonusscored+lalosingbonusscored</f>
        <v>10</v>
      </c>
      <c r="L9" s="331">
        <f t="shared" ref="L9" si="1">SUM(E9*4+F9*2+K9)</f>
        <v>32</v>
      </c>
    </row>
    <row r="11" spans="1:15" x14ac:dyDescent="0.2">
      <c r="A11" s="326" t="s">
        <v>125</v>
      </c>
      <c r="B11" s="327" t="s">
        <v>126</v>
      </c>
      <c r="C11" s="328" t="s">
        <v>239</v>
      </c>
      <c r="D11" s="327" t="s">
        <v>29</v>
      </c>
      <c r="E11" s="328" t="s">
        <v>30</v>
      </c>
      <c r="F11" s="327" t="s">
        <v>26</v>
      </c>
      <c r="G11" s="327" t="s">
        <v>31</v>
      </c>
      <c r="H11" s="327" t="s">
        <v>20</v>
      </c>
      <c r="I11" s="327" t="s">
        <v>21</v>
      </c>
      <c r="J11" s="328" t="s">
        <v>127</v>
      </c>
      <c r="K11" s="327" t="s">
        <v>128</v>
      </c>
      <c r="L11" s="328" t="s">
        <v>129</v>
      </c>
    </row>
    <row r="12" spans="1:15" x14ac:dyDescent="0.2">
      <c r="A12" s="390" t="s">
        <v>25</v>
      </c>
      <c r="B12" s="391" t="s">
        <v>130</v>
      </c>
      <c r="C12" s="392" t="s">
        <v>46</v>
      </c>
      <c r="D12" s="392">
        <f>newplayed</f>
        <v>16</v>
      </c>
      <c r="E12" s="393">
        <f>newwon</f>
        <v>11</v>
      </c>
      <c r="F12" s="392">
        <f>newdrawn</f>
        <v>0</v>
      </c>
      <c r="G12" s="392">
        <f>newlost</f>
        <v>5</v>
      </c>
      <c r="H12" s="392">
        <f>newpointsscored</f>
        <v>463</v>
      </c>
      <c r="I12" s="392">
        <f>newpointsconceded</f>
        <v>344</v>
      </c>
      <c r="J12" s="393">
        <f>H12-I12</f>
        <v>119</v>
      </c>
      <c r="K12" s="392">
        <f>newtrybonusscored+newlosingbonusscored</f>
        <v>11</v>
      </c>
      <c r="L12" s="393">
        <f>SUM(E12*4+F12*2+K12)</f>
        <v>55</v>
      </c>
    </row>
    <row r="13" spans="1:15" x14ac:dyDescent="0.2">
      <c r="A13" s="392">
        <v>2</v>
      </c>
      <c r="B13" s="391" t="s">
        <v>130</v>
      </c>
      <c r="C13" s="392" t="s">
        <v>49</v>
      </c>
      <c r="D13" s="392">
        <f>nolaplayed</f>
        <v>16</v>
      </c>
      <c r="E13" s="393">
        <f>nolawon</f>
        <v>10</v>
      </c>
      <c r="F13" s="392">
        <f>noladrawn</f>
        <v>0</v>
      </c>
      <c r="G13" s="392">
        <f>nolalost</f>
        <v>6</v>
      </c>
      <c r="H13" s="392">
        <f>nolapointsscored</f>
        <v>410</v>
      </c>
      <c r="I13" s="392">
        <f>nolapointsconceded</f>
        <v>349</v>
      </c>
      <c r="J13" s="393">
        <f>H13-I13</f>
        <v>61</v>
      </c>
      <c r="K13" s="392">
        <f>nolatrybonusscored+nolalosingbonusscored</f>
        <v>10</v>
      </c>
      <c r="L13" s="393">
        <f>SUM(E13*4+F13*2+K13)</f>
        <v>50</v>
      </c>
    </row>
    <row r="14" spans="1:15" x14ac:dyDescent="0.2">
      <c r="A14" s="387">
        <v>3</v>
      </c>
      <c r="B14" s="388" t="s">
        <v>130</v>
      </c>
      <c r="C14" s="387" t="s">
        <v>57</v>
      </c>
      <c r="D14" s="387">
        <f>chiplayed</f>
        <v>16</v>
      </c>
      <c r="E14" s="389">
        <f>chiwon</f>
        <v>8</v>
      </c>
      <c r="F14" s="387">
        <f>chidrawn</f>
        <v>1</v>
      </c>
      <c r="G14" s="387">
        <f>chilost</f>
        <v>7</v>
      </c>
      <c r="H14" s="387">
        <f>chipointsscored</f>
        <v>454</v>
      </c>
      <c r="I14" s="387">
        <f>chipointsconceded</f>
        <v>387</v>
      </c>
      <c r="J14" s="389">
        <f>H14-I14</f>
        <v>67</v>
      </c>
      <c r="K14" s="387">
        <f>chitrybonusscored+chilosingbonusscored</f>
        <v>11</v>
      </c>
      <c r="L14" s="389">
        <f>SUM(E14*4+F14*2+K14)</f>
        <v>45</v>
      </c>
    </row>
    <row r="15" spans="1:15" x14ac:dyDescent="0.2">
      <c r="A15" s="387">
        <v>4</v>
      </c>
      <c r="B15" s="388" t="s">
        <v>130</v>
      </c>
      <c r="C15" s="387" t="s">
        <v>53</v>
      </c>
      <c r="D15" s="387">
        <f>ogdcplayed</f>
        <v>16</v>
      </c>
      <c r="E15" s="389">
        <f>ogdcwon</f>
        <v>7</v>
      </c>
      <c r="F15" s="387">
        <f>ogdcdrawn</f>
        <v>2</v>
      </c>
      <c r="G15" s="387">
        <f>ogdclost</f>
        <v>7</v>
      </c>
      <c r="H15" s="387">
        <f>ogdcpointsscored</f>
        <v>394</v>
      </c>
      <c r="I15" s="387">
        <f>ogdcpointsconceded</f>
        <v>416</v>
      </c>
      <c r="J15" s="389">
        <f>H15-I15</f>
        <v>-22</v>
      </c>
      <c r="K15" s="387">
        <f>ogdctrybonusscored+ogdclosingbonusscored</f>
        <v>10</v>
      </c>
      <c r="L15" s="389">
        <f>SUM(E15*4+F15*2+K15)</f>
        <v>42</v>
      </c>
      <c r="O15" s="330" t="s">
        <v>454</v>
      </c>
    </row>
    <row r="16" spans="1:15" x14ac:dyDescent="0.2">
      <c r="A16" s="329">
        <v>5</v>
      </c>
      <c r="B16" s="330" t="s">
        <v>130</v>
      </c>
      <c r="C16" s="329" t="s">
        <v>52</v>
      </c>
      <c r="D16" s="329">
        <f>miaplayed</f>
        <v>16</v>
      </c>
      <c r="E16" s="331">
        <f>miawon</f>
        <v>6</v>
      </c>
      <c r="F16" s="329">
        <f>miadrawn</f>
        <v>0</v>
      </c>
      <c r="G16" s="329">
        <f>mialost</f>
        <v>10</v>
      </c>
      <c r="H16" s="329">
        <f>miapointsscored</f>
        <v>335</v>
      </c>
      <c r="I16" s="329">
        <f>miapointsconceded</f>
        <v>389</v>
      </c>
      <c r="J16" s="331">
        <f>H16-I16</f>
        <v>-54</v>
      </c>
      <c r="K16" s="329">
        <f>miatrybonusscored+mialosingbonusscored</f>
        <v>8</v>
      </c>
      <c r="L16" s="331">
        <f>SUM(E16*4+F16*2+K16)</f>
        <v>32</v>
      </c>
      <c r="O16" s="394" t="s">
        <v>453</v>
      </c>
    </row>
    <row r="17" spans="1:12" x14ac:dyDescent="0.2">
      <c r="A17" s="329">
        <v>6</v>
      </c>
      <c r="B17" s="330" t="s">
        <v>130</v>
      </c>
      <c r="C17" s="329" t="s">
        <v>83</v>
      </c>
      <c r="D17" s="329">
        <f>antplayed</f>
        <v>16</v>
      </c>
      <c r="E17" s="331">
        <f>antwon</f>
        <v>0</v>
      </c>
      <c r="F17" s="329">
        <f>antdrawn</f>
        <v>0</v>
      </c>
      <c r="G17" s="329">
        <f>antlost</f>
        <v>16</v>
      </c>
      <c r="H17" s="329">
        <f>antpointsscored</f>
        <v>323</v>
      </c>
      <c r="I17" s="329">
        <f>antpointsconceded</f>
        <v>676</v>
      </c>
      <c r="J17" s="331">
        <f t="shared" ref="J17" si="2">H17-I17</f>
        <v>-353</v>
      </c>
      <c r="K17" s="329">
        <f>anttrybonusscored+antlosingbonusscored</f>
        <v>7</v>
      </c>
      <c r="L17" s="331">
        <f t="shared" ref="L17" si="3">SUM(E17*4+F17*2+K17)</f>
        <v>7</v>
      </c>
    </row>
    <row r="19" spans="1:12" x14ac:dyDescent="0.2">
      <c r="A19" s="597" t="s">
        <v>131</v>
      </c>
      <c r="B19" s="597"/>
      <c r="C19" s="597"/>
      <c r="D19" s="194"/>
      <c r="E19" s="194"/>
      <c r="F19" s="194"/>
      <c r="G19" s="194"/>
      <c r="H19" s="194"/>
      <c r="I19" s="194"/>
      <c r="J19" s="194"/>
      <c r="K19" s="194"/>
      <c r="L19" s="194"/>
    </row>
    <row r="20" spans="1:12" x14ac:dyDescent="0.2">
      <c r="A20" s="597" t="s">
        <v>11</v>
      </c>
      <c r="B20" s="597"/>
      <c r="C20" s="194"/>
      <c r="D20" s="194"/>
      <c r="E20" s="194"/>
      <c r="F20" s="194"/>
      <c r="G20" s="194"/>
      <c r="H20" s="194"/>
      <c r="I20" s="194"/>
      <c r="J20" s="194"/>
      <c r="K20" s="194"/>
      <c r="L20" s="194"/>
    </row>
    <row r="21" spans="1:12" x14ac:dyDescent="0.2">
      <c r="A21" s="326" t="s">
        <v>125</v>
      </c>
      <c r="B21" s="327" t="s">
        <v>126</v>
      </c>
      <c r="C21" s="327"/>
      <c r="D21" s="327" t="s">
        <v>29</v>
      </c>
      <c r="E21" s="328" t="s">
        <v>30</v>
      </c>
      <c r="F21" s="327" t="s">
        <v>26</v>
      </c>
      <c r="G21" s="327" t="s">
        <v>31</v>
      </c>
      <c r="H21" s="327" t="s">
        <v>20</v>
      </c>
      <c r="I21" s="327" t="s">
        <v>21</v>
      </c>
      <c r="J21" s="328" t="s">
        <v>127</v>
      </c>
      <c r="K21" s="327" t="s">
        <v>128</v>
      </c>
      <c r="L21" s="328" t="s">
        <v>129</v>
      </c>
    </row>
    <row r="22" spans="1:12" x14ac:dyDescent="0.2">
      <c r="A22" s="351">
        <v>1</v>
      </c>
      <c r="B22" s="330" t="s">
        <v>130</v>
      </c>
      <c r="C22" s="210" t="s">
        <v>61</v>
      </c>
      <c r="D22" s="211">
        <f>houplayed</f>
        <v>16</v>
      </c>
      <c r="E22" s="212">
        <f>houwon</f>
        <v>14</v>
      </c>
      <c r="F22" s="211">
        <f>houdrawn</f>
        <v>0</v>
      </c>
      <c r="G22" s="211">
        <f>houlost</f>
        <v>2</v>
      </c>
      <c r="H22" s="211">
        <f>houpointsscored</f>
        <v>478</v>
      </c>
      <c r="I22" s="211">
        <f>houpointsconceded</f>
        <v>347</v>
      </c>
      <c r="J22" s="212">
        <f t="shared" ref="J22:J33" si="4">SUM(H22-I22)</f>
        <v>131</v>
      </c>
      <c r="K22" s="211">
        <f>houtrybonusscored+houlosingbonusscored</f>
        <v>11</v>
      </c>
      <c r="L22" s="212">
        <f t="shared" ref="L22:L33" si="5">SUM(E22*4+F22*2+K22)</f>
        <v>67</v>
      </c>
    </row>
    <row r="23" spans="1:12" x14ac:dyDescent="0.2">
      <c r="A23" s="351">
        <v>2</v>
      </c>
      <c r="B23" s="330" t="s">
        <v>130</v>
      </c>
      <c r="C23" s="210" t="s">
        <v>60</v>
      </c>
      <c r="D23" s="211">
        <f>seaplayed</f>
        <v>16</v>
      </c>
      <c r="E23" s="212">
        <f>seawon</f>
        <v>11</v>
      </c>
      <c r="F23" s="211">
        <f>seadrawn</f>
        <v>0</v>
      </c>
      <c r="G23" s="211">
        <f>sealost</f>
        <v>5</v>
      </c>
      <c r="H23" s="211">
        <f>seapointsscored</f>
        <v>498</v>
      </c>
      <c r="I23" s="211">
        <f>seapointsconceded</f>
        <v>373</v>
      </c>
      <c r="J23" s="212">
        <f t="shared" si="4"/>
        <v>125</v>
      </c>
      <c r="K23" s="211">
        <f>seatrybonusscored+sealosingbonusscored</f>
        <v>13</v>
      </c>
      <c r="L23" s="212">
        <f t="shared" si="5"/>
        <v>57</v>
      </c>
    </row>
    <row r="24" spans="1:12" x14ac:dyDescent="0.2">
      <c r="A24" s="351">
        <v>3</v>
      </c>
      <c r="B24" s="330" t="s">
        <v>130</v>
      </c>
      <c r="C24" s="210" t="s">
        <v>46</v>
      </c>
      <c r="D24" s="211">
        <f>newplayed</f>
        <v>16</v>
      </c>
      <c r="E24" s="212">
        <f>newwon</f>
        <v>11</v>
      </c>
      <c r="F24" s="211">
        <f>newdrawn</f>
        <v>0</v>
      </c>
      <c r="G24" s="211">
        <f>newlost</f>
        <v>5</v>
      </c>
      <c r="H24" s="211">
        <f>newpointsscored</f>
        <v>463</v>
      </c>
      <c r="I24" s="211">
        <f>newpointsconceded</f>
        <v>344</v>
      </c>
      <c r="J24" s="212">
        <f t="shared" si="4"/>
        <v>119</v>
      </c>
      <c r="K24" s="211">
        <f>newtrybonusscored+newlosingbonusscored</f>
        <v>11</v>
      </c>
      <c r="L24" s="212">
        <f t="shared" si="5"/>
        <v>55</v>
      </c>
    </row>
    <row r="25" spans="1:12" x14ac:dyDescent="0.2">
      <c r="A25" s="351">
        <v>4</v>
      </c>
      <c r="B25" s="330" t="s">
        <v>130</v>
      </c>
      <c r="C25" s="210" t="s">
        <v>66</v>
      </c>
      <c r="D25" s="211">
        <f>sdlplayed</f>
        <v>16</v>
      </c>
      <c r="E25" s="212">
        <f>sdlwon</f>
        <v>11</v>
      </c>
      <c r="F25" s="211">
        <f>sdldrawn</f>
        <v>0</v>
      </c>
      <c r="G25" s="211">
        <f>sdllost</f>
        <v>5</v>
      </c>
      <c r="H25" s="211">
        <f>sdlpointsscored</f>
        <v>402</v>
      </c>
      <c r="I25" s="211">
        <f>sdlpointsconceded</f>
        <v>360</v>
      </c>
      <c r="J25" s="212">
        <f t="shared" si="4"/>
        <v>42</v>
      </c>
      <c r="K25" s="211">
        <f>sdltrybonusscored+sdllosingbonusscored</f>
        <v>11</v>
      </c>
      <c r="L25" s="212">
        <f t="shared" si="5"/>
        <v>55</v>
      </c>
    </row>
    <row r="26" spans="1:12" x14ac:dyDescent="0.2">
      <c r="A26" s="351">
        <v>5</v>
      </c>
      <c r="B26" s="330" t="s">
        <v>130</v>
      </c>
      <c r="C26" s="210" t="s">
        <v>49</v>
      </c>
      <c r="D26" s="211">
        <f>nolaplayed</f>
        <v>16</v>
      </c>
      <c r="E26" s="212">
        <f>nolawon</f>
        <v>10</v>
      </c>
      <c r="F26" s="211">
        <f>noladrawn</f>
        <v>0</v>
      </c>
      <c r="G26" s="211">
        <f>nolalost</f>
        <v>6</v>
      </c>
      <c r="H26" s="211">
        <f>nolapointsscored</f>
        <v>410</v>
      </c>
      <c r="I26" s="211">
        <f>nolapointsconceded</f>
        <v>349</v>
      </c>
      <c r="J26" s="212">
        <f t="shared" si="4"/>
        <v>61</v>
      </c>
      <c r="K26" s="211">
        <f>nolatrybonusscored+nolalosingbonusscored</f>
        <v>10</v>
      </c>
      <c r="L26" s="212">
        <f t="shared" si="5"/>
        <v>50</v>
      </c>
    </row>
    <row r="27" spans="1:12" x14ac:dyDescent="0.2">
      <c r="A27" s="351">
        <v>6</v>
      </c>
      <c r="B27" s="330" t="s">
        <v>454</v>
      </c>
      <c r="C27" s="210" t="s">
        <v>57</v>
      </c>
      <c r="D27" s="211">
        <f>chiplayed</f>
        <v>16</v>
      </c>
      <c r="E27" s="212">
        <f>chiwon</f>
        <v>8</v>
      </c>
      <c r="F27" s="211">
        <f>chidrawn</f>
        <v>1</v>
      </c>
      <c r="G27" s="211">
        <f>chilost</f>
        <v>7</v>
      </c>
      <c r="H27" s="211">
        <f>chipointsscored</f>
        <v>454</v>
      </c>
      <c r="I27" s="211">
        <f>chipointsconceded</f>
        <v>387</v>
      </c>
      <c r="J27" s="212">
        <f>SUM(H27-I27)</f>
        <v>67</v>
      </c>
      <c r="K27" s="211">
        <f>chitrybonusscored+chilosingbonusscored</f>
        <v>11</v>
      </c>
      <c r="L27" s="212">
        <f>SUM(E27*4+F27*2+K27)</f>
        <v>45</v>
      </c>
    </row>
    <row r="28" spans="1:12" x14ac:dyDescent="0.2">
      <c r="A28" s="351">
        <v>7</v>
      </c>
      <c r="B28" s="394" t="s">
        <v>453</v>
      </c>
      <c r="C28" s="210" t="s">
        <v>51</v>
      </c>
      <c r="D28" s="211">
        <f>dalplayed</f>
        <v>16</v>
      </c>
      <c r="E28" s="212">
        <f>dalwon</f>
        <v>6</v>
      </c>
      <c r="F28" s="211">
        <f>daldrawn</f>
        <v>0</v>
      </c>
      <c r="G28" s="211">
        <f>dallost</f>
        <v>10</v>
      </c>
      <c r="H28" s="211">
        <f>dalpointsscored</f>
        <v>485</v>
      </c>
      <c r="I28" s="211">
        <f>dalpointsconceded</f>
        <v>447</v>
      </c>
      <c r="J28" s="212">
        <f t="shared" si="4"/>
        <v>38</v>
      </c>
      <c r="K28" s="211">
        <f>daltrybonusscored+dallosingbonusscored</f>
        <v>19</v>
      </c>
      <c r="L28" s="212">
        <f t="shared" si="5"/>
        <v>43</v>
      </c>
    </row>
    <row r="29" spans="1:12" x14ac:dyDescent="0.2">
      <c r="A29" s="351">
        <v>8</v>
      </c>
      <c r="B29" s="330" t="s">
        <v>130</v>
      </c>
      <c r="C29" s="210" t="s">
        <v>53</v>
      </c>
      <c r="D29" s="211">
        <f>ogdcplayed</f>
        <v>16</v>
      </c>
      <c r="E29" s="212">
        <f>ogdcwon</f>
        <v>7</v>
      </c>
      <c r="F29" s="211">
        <f>ogdcdrawn</f>
        <v>2</v>
      </c>
      <c r="G29" s="211">
        <f>ogdclost</f>
        <v>7</v>
      </c>
      <c r="H29" s="211">
        <f>ogdcpointsscored</f>
        <v>394</v>
      </c>
      <c r="I29" s="211">
        <f>ogdcpointsconceded</f>
        <v>416</v>
      </c>
      <c r="J29" s="212">
        <f>SUM(H29-I29)</f>
        <v>-22</v>
      </c>
      <c r="K29" s="211">
        <f>ogdctrybonusscored+ogdclosingbonusscored</f>
        <v>10</v>
      </c>
      <c r="L29" s="212">
        <f>SUM(E29*4+F29*2+K29)</f>
        <v>42</v>
      </c>
    </row>
    <row r="30" spans="1:12" x14ac:dyDescent="0.2">
      <c r="A30" s="351">
        <v>9</v>
      </c>
      <c r="B30" s="330" t="s">
        <v>130</v>
      </c>
      <c r="C30" s="210" t="s">
        <v>55</v>
      </c>
      <c r="D30" s="211">
        <f>utaplayed</f>
        <v>16</v>
      </c>
      <c r="E30" s="212">
        <f>utawon</f>
        <v>5</v>
      </c>
      <c r="F30" s="211">
        <f>utadrawn</f>
        <v>0</v>
      </c>
      <c r="G30" s="211">
        <f>utalost</f>
        <v>11</v>
      </c>
      <c r="H30" s="211">
        <f>utapointsscored</f>
        <v>424</v>
      </c>
      <c r="I30" s="211">
        <f>utapointsconceded</f>
        <v>471</v>
      </c>
      <c r="J30" s="212">
        <f t="shared" si="4"/>
        <v>-47</v>
      </c>
      <c r="K30" s="211">
        <f>utatrybonusscored+utalosingbonusscored</f>
        <v>15</v>
      </c>
      <c r="L30" s="212">
        <f t="shared" si="5"/>
        <v>35</v>
      </c>
    </row>
    <row r="31" spans="1:12" x14ac:dyDescent="0.2">
      <c r="A31" s="351">
        <v>10</v>
      </c>
      <c r="B31" s="330" t="s">
        <v>454</v>
      </c>
      <c r="C31" s="210" t="s">
        <v>52</v>
      </c>
      <c r="D31" s="211">
        <f>miaplayed</f>
        <v>16</v>
      </c>
      <c r="E31" s="212">
        <f>miawon</f>
        <v>6</v>
      </c>
      <c r="F31" s="211">
        <f>miadrawn</f>
        <v>0</v>
      </c>
      <c r="G31" s="211">
        <f>mialost</f>
        <v>10</v>
      </c>
      <c r="H31" s="211">
        <f>miapointsscored</f>
        <v>335</v>
      </c>
      <c r="I31" s="211">
        <f>miapointsconceded</f>
        <v>389</v>
      </c>
      <c r="J31" s="212">
        <f>SUM(H31-I31)</f>
        <v>-54</v>
      </c>
      <c r="K31" s="211">
        <f>miatrybonusscored+mialosingbonusscored</f>
        <v>8</v>
      </c>
      <c r="L31" s="212">
        <f>SUM(E31*4+F31*2+K31)</f>
        <v>32</v>
      </c>
    </row>
    <row r="32" spans="1:12" x14ac:dyDescent="0.2">
      <c r="A32" s="351">
        <v>11</v>
      </c>
      <c r="B32" s="394" t="s">
        <v>453</v>
      </c>
      <c r="C32" s="210" t="s">
        <v>63</v>
      </c>
      <c r="D32" s="211">
        <f>laplayed</f>
        <v>16</v>
      </c>
      <c r="E32" s="212">
        <f>lawon</f>
        <v>5</v>
      </c>
      <c r="F32" s="211">
        <f>ladrawn</f>
        <v>1</v>
      </c>
      <c r="G32" s="211">
        <f>lalost</f>
        <v>10</v>
      </c>
      <c r="H32" s="211">
        <f>lapointsscored</f>
        <v>367</v>
      </c>
      <c r="I32" s="211">
        <f>lapointsconceded</f>
        <v>473</v>
      </c>
      <c r="J32" s="212">
        <f t="shared" si="4"/>
        <v>-106</v>
      </c>
      <c r="K32" s="211">
        <f>latrybonusscored+lalosingbonusscored</f>
        <v>10</v>
      </c>
      <c r="L32" s="212">
        <f t="shared" si="5"/>
        <v>32</v>
      </c>
    </row>
    <row r="33" spans="1:13" x14ac:dyDescent="0.2">
      <c r="A33" s="351">
        <v>12</v>
      </c>
      <c r="B33" s="330" t="s">
        <v>130</v>
      </c>
      <c r="C33" s="210" t="s">
        <v>83</v>
      </c>
      <c r="D33" s="211">
        <f>antplayed</f>
        <v>16</v>
      </c>
      <c r="E33" s="212">
        <f>antwon</f>
        <v>0</v>
      </c>
      <c r="F33" s="211">
        <f>antdrawn</f>
        <v>0</v>
      </c>
      <c r="G33" s="211">
        <f>antlost</f>
        <v>16</v>
      </c>
      <c r="H33" s="211">
        <f>antpointsscored</f>
        <v>323</v>
      </c>
      <c r="I33" s="211">
        <f>antpointsconceded</f>
        <v>676</v>
      </c>
      <c r="J33" s="212">
        <f t="shared" si="4"/>
        <v>-353</v>
      </c>
      <c r="K33" s="211">
        <f>anttrybonusscored+antlosingbonusscored</f>
        <v>7</v>
      </c>
      <c r="L33" s="212">
        <f t="shared" si="5"/>
        <v>7</v>
      </c>
    </row>
    <row r="34" spans="1:13" x14ac:dyDescent="0.2">
      <c r="A34" s="215"/>
    </row>
    <row r="36" spans="1:13" x14ac:dyDescent="0.2">
      <c r="A36" s="598" t="s">
        <v>132</v>
      </c>
      <c r="B36" s="598"/>
      <c r="C36" s="598"/>
      <c r="D36" s="598"/>
      <c r="E36" s="598"/>
      <c r="F36" s="598"/>
      <c r="G36" s="598"/>
      <c r="H36" s="598"/>
      <c r="I36" s="598"/>
      <c r="J36" s="598"/>
      <c r="K36" s="598"/>
      <c r="L36" s="598"/>
      <c r="M36" s="598"/>
    </row>
    <row r="37" spans="1:13" x14ac:dyDescent="0.2">
      <c r="A37" s="592" t="s">
        <v>133</v>
      </c>
      <c r="B37" s="592"/>
      <c r="C37" s="592"/>
      <c r="D37" s="592"/>
      <c r="E37" s="592"/>
      <c r="F37" s="592"/>
      <c r="G37" s="592"/>
      <c r="H37" s="592"/>
      <c r="I37" s="592"/>
      <c r="J37" s="592"/>
      <c r="K37" s="592"/>
      <c r="L37" s="592"/>
      <c r="M37" s="592"/>
    </row>
    <row r="38" spans="1:13" x14ac:dyDescent="0.2">
      <c r="A38" s="592" t="s">
        <v>134</v>
      </c>
      <c r="B38" s="592"/>
      <c r="C38" s="592"/>
      <c r="D38" s="592"/>
      <c r="E38" s="592"/>
      <c r="F38" s="592"/>
      <c r="G38" s="592"/>
      <c r="H38" s="592"/>
      <c r="I38" s="592"/>
      <c r="J38" s="592"/>
      <c r="K38" s="592"/>
      <c r="L38" s="592"/>
      <c r="M38" s="592"/>
    </row>
    <row r="39" spans="1:13" x14ac:dyDescent="0.2">
      <c r="A39" s="592" t="s">
        <v>135</v>
      </c>
      <c r="B39" s="592"/>
      <c r="C39" s="592"/>
      <c r="D39" s="592"/>
      <c r="E39" s="592"/>
      <c r="F39" s="592"/>
      <c r="G39" s="592"/>
      <c r="H39" s="592"/>
      <c r="I39" s="592"/>
      <c r="J39" s="592"/>
      <c r="K39" s="592"/>
      <c r="L39" s="592"/>
      <c r="M39" s="592"/>
    </row>
    <row r="40" spans="1:13" x14ac:dyDescent="0.2">
      <c r="A40" s="592" t="s">
        <v>136</v>
      </c>
      <c r="B40" s="592"/>
      <c r="C40" s="592"/>
      <c r="D40" s="592"/>
      <c r="E40" s="592"/>
      <c r="F40" s="592"/>
      <c r="G40" s="592"/>
      <c r="H40" s="592"/>
      <c r="I40" s="592"/>
      <c r="J40" s="592"/>
      <c r="K40" s="592"/>
      <c r="L40" s="592"/>
      <c r="M40" s="592"/>
    </row>
    <row r="41" spans="1:13" x14ac:dyDescent="0.2">
      <c r="A41" s="592" t="s">
        <v>137</v>
      </c>
      <c r="B41" s="592"/>
      <c r="C41" s="592"/>
      <c r="D41" s="592"/>
      <c r="E41" s="592"/>
      <c r="F41" s="592"/>
      <c r="G41" s="592"/>
      <c r="H41" s="592"/>
      <c r="I41" s="592"/>
      <c r="J41" s="592"/>
      <c r="K41" s="592"/>
      <c r="L41" s="592"/>
      <c r="M41" s="592"/>
    </row>
    <row r="42" spans="1:13" x14ac:dyDescent="0.2">
      <c r="A42" s="592"/>
      <c r="B42" s="592"/>
      <c r="C42" s="592"/>
      <c r="D42" s="592"/>
      <c r="E42" s="592"/>
      <c r="F42" s="592"/>
      <c r="G42" s="592"/>
      <c r="H42" s="592"/>
      <c r="I42" s="592"/>
      <c r="J42" s="592"/>
      <c r="K42" s="592"/>
      <c r="L42" s="592"/>
      <c r="M42" s="592"/>
    </row>
    <row r="43" spans="1:13" x14ac:dyDescent="0.2">
      <c r="A43" s="598" t="s">
        <v>138</v>
      </c>
      <c r="B43" s="598"/>
      <c r="C43" s="598"/>
      <c r="D43" s="598"/>
      <c r="E43" s="598"/>
      <c r="F43" s="598"/>
      <c r="G43" s="598"/>
      <c r="H43" s="598"/>
      <c r="I43" s="598"/>
      <c r="J43" s="598"/>
      <c r="K43" s="598"/>
      <c r="L43" s="598"/>
      <c r="M43" s="598"/>
    </row>
    <row r="44" spans="1:13" x14ac:dyDescent="0.2">
      <c r="A44" s="598" t="s">
        <v>139</v>
      </c>
      <c r="B44" s="598"/>
      <c r="C44" s="598"/>
      <c r="D44" s="598"/>
      <c r="E44" s="598"/>
      <c r="F44" s="598"/>
      <c r="G44" s="598"/>
      <c r="H44" s="598"/>
      <c r="I44" s="598"/>
      <c r="J44" s="598"/>
      <c r="K44" s="598"/>
      <c r="L44" s="598"/>
      <c r="M44" s="598"/>
    </row>
    <row r="45" spans="1:13" x14ac:dyDescent="0.2">
      <c r="A45" s="592" t="s">
        <v>140</v>
      </c>
      <c r="B45" s="592"/>
      <c r="C45" s="592"/>
      <c r="D45" s="592"/>
      <c r="E45" s="592"/>
      <c r="F45" s="592"/>
      <c r="G45" s="592"/>
      <c r="H45" s="592"/>
      <c r="I45" s="592"/>
      <c r="J45" s="592"/>
      <c r="K45" s="592"/>
      <c r="L45" s="592"/>
      <c r="M45" s="592"/>
    </row>
    <row r="46" spans="1:13" x14ac:dyDescent="0.2">
      <c r="A46" s="592" t="s">
        <v>141</v>
      </c>
      <c r="B46" s="592"/>
      <c r="C46" s="592"/>
      <c r="D46" s="592"/>
      <c r="E46" s="592"/>
      <c r="F46" s="592"/>
      <c r="G46" s="592"/>
      <c r="H46" s="592"/>
      <c r="I46" s="592"/>
      <c r="J46" s="592"/>
      <c r="K46" s="592"/>
      <c r="L46" s="592"/>
      <c r="M46" s="592"/>
    </row>
    <row r="47" spans="1:13" x14ac:dyDescent="0.2">
      <c r="A47" s="592" t="s">
        <v>142</v>
      </c>
      <c r="B47" s="592"/>
      <c r="C47" s="592"/>
      <c r="D47" s="592"/>
      <c r="E47" s="592"/>
      <c r="F47" s="592"/>
      <c r="G47" s="592"/>
      <c r="H47" s="592"/>
      <c r="I47" s="592"/>
      <c r="J47" s="592"/>
      <c r="K47" s="592"/>
      <c r="L47" s="592"/>
      <c r="M47" s="592"/>
    </row>
    <row r="48" spans="1:13" x14ac:dyDescent="0.2">
      <c r="A48" s="592" t="s">
        <v>143</v>
      </c>
      <c r="B48" s="592"/>
      <c r="C48" s="592"/>
      <c r="D48" s="592"/>
      <c r="E48" s="592"/>
      <c r="F48" s="592"/>
      <c r="G48" s="592"/>
      <c r="H48" s="592"/>
      <c r="I48" s="592"/>
      <c r="J48" s="592"/>
      <c r="K48" s="592"/>
      <c r="L48" s="592"/>
      <c r="M48" s="592"/>
    </row>
    <row r="49" spans="1:13" x14ac:dyDescent="0.2">
      <c r="A49" s="592" t="s">
        <v>144</v>
      </c>
      <c r="B49" s="592"/>
      <c r="C49" s="592"/>
      <c r="D49" s="592"/>
      <c r="E49" s="592"/>
      <c r="F49" s="592"/>
      <c r="G49" s="592"/>
      <c r="H49" s="592"/>
      <c r="I49" s="592"/>
      <c r="J49" s="592"/>
      <c r="K49" s="592"/>
      <c r="L49" s="592"/>
      <c r="M49" s="592"/>
    </row>
    <row r="50" spans="1:13" x14ac:dyDescent="0.2">
      <c r="A50" s="592" t="s">
        <v>145</v>
      </c>
      <c r="B50" s="592"/>
      <c r="C50" s="592"/>
      <c r="D50" s="592"/>
      <c r="E50" s="592"/>
      <c r="F50" s="592"/>
      <c r="G50" s="592"/>
      <c r="H50" s="592"/>
      <c r="I50" s="592"/>
      <c r="J50" s="592"/>
      <c r="K50" s="592"/>
      <c r="L50" s="592"/>
      <c r="M50" s="592"/>
    </row>
    <row r="51" spans="1:13" x14ac:dyDescent="0.2">
      <c r="A51" s="592" t="s">
        <v>146</v>
      </c>
      <c r="B51" s="592"/>
      <c r="C51" s="592"/>
      <c r="D51" s="592"/>
      <c r="E51" s="592"/>
      <c r="F51" s="592"/>
      <c r="G51" s="592"/>
      <c r="H51" s="592"/>
      <c r="I51" s="592"/>
      <c r="J51" s="592"/>
      <c r="K51" s="592"/>
      <c r="L51" s="592"/>
      <c r="M51" s="592"/>
    </row>
    <row r="53" spans="1:13" x14ac:dyDescent="0.2">
      <c r="A53" s="178" t="s">
        <v>429</v>
      </c>
    </row>
  </sheetData>
  <sortState xmlns:xlrd2="http://schemas.microsoft.com/office/spreadsheetml/2017/richdata2" ref="A22:L33">
    <sortCondition descending="1" ref="L22:L33"/>
    <sortCondition descending="1" ref="E22:E33"/>
    <sortCondition descending="1" ref="J22:J33"/>
  </sortState>
  <mergeCells count="20">
    <mergeCell ref="A1:C1"/>
    <mergeCell ref="A2:B2"/>
    <mergeCell ref="A43:M43"/>
    <mergeCell ref="A44:M44"/>
    <mergeCell ref="A51:M51"/>
    <mergeCell ref="A45:M45"/>
    <mergeCell ref="A46:M46"/>
    <mergeCell ref="A47:M47"/>
    <mergeCell ref="A48:M48"/>
    <mergeCell ref="A49:M49"/>
    <mergeCell ref="A50:M50"/>
    <mergeCell ref="A39:M39"/>
    <mergeCell ref="A19:C19"/>
    <mergeCell ref="A40:M40"/>
    <mergeCell ref="A41:M41"/>
    <mergeCell ref="A42:M42"/>
    <mergeCell ref="A20:B20"/>
    <mergeCell ref="A36:M36"/>
    <mergeCell ref="A37:M37"/>
    <mergeCell ref="A38:M38"/>
  </mergeCells>
  <phoneticPr fontId="43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F3C0C-AB22-0F49-8DF9-13C220AD9FD8}">
  <dimension ref="A1:Q42"/>
  <sheetViews>
    <sheetView workbookViewId="0">
      <selection sqref="A1:B1"/>
    </sheetView>
  </sheetViews>
  <sheetFormatPr baseColWidth="10" defaultColWidth="11.5" defaultRowHeight="16" x14ac:dyDescent="0.2"/>
  <cols>
    <col min="1" max="1" width="14.1640625" customWidth="1"/>
    <col min="2" max="2" width="5" customWidth="1"/>
    <col min="3" max="3" width="57.33203125" bestFit="1" customWidth="1"/>
    <col min="4" max="4" width="5.1640625" customWidth="1"/>
    <col min="5" max="5" width="17" bestFit="1" customWidth="1"/>
    <col min="6" max="7" width="5.33203125" customWidth="1"/>
    <col min="8" max="8" width="14.33203125" bestFit="1" customWidth="1"/>
    <col min="9" max="17" width="8.83203125"/>
  </cols>
  <sheetData>
    <row r="1" spans="1:17" ht="17" thickBot="1" x14ac:dyDescent="0.25">
      <c r="A1" s="597" t="s">
        <v>150</v>
      </c>
      <c r="B1" s="597"/>
    </row>
    <row r="2" spans="1:17" ht="18" customHeight="1" thickBot="1" x14ac:dyDescent="0.25">
      <c r="A2" s="229"/>
      <c r="B2" s="230"/>
      <c r="C2" s="231" t="s">
        <v>147</v>
      </c>
      <c r="D2" s="604" t="s">
        <v>148</v>
      </c>
      <c r="E2" s="605"/>
      <c r="F2" s="234" t="s">
        <v>151</v>
      </c>
      <c r="H2" s="602" t="s">
        <v>153</v>
      </c>
      <c r="I2" s="599" t="s">
        <v>154</v>
      </c>
      <c r="J2" s="600"/>
      <c r="K2" s="599" t="s">
        <v>155</v>
      </c>
      <c r="L2" s="601"/>
      <c r="M2" s="601"/>
      <c r="N2" s="601"/>
      <c r="O2" s="600"/>
      <c r="P2" s="599" t="s">
        <v>156</v>
      </c>
      <c r="Q2" s="600"/>
    </row>
    <row r="3" spans="1:17" ht="33" thickBot="1" x14ac:dyDescent="0.25">
      <c r="A3" s="232" t="s">
        <v>57</v>
      </c>
      <c r="B3" s="221">
        <f>chiyellowcards</f>
        <v>10</v>
      </c>
      <c r="C3" s="350" t="s">
        <v>497</v>
      </c>
      <c r="D3" s="222">
        <f>chiredcards</f>
        <v>0</v>
      </c>
      <c r="E3" s="220"/>
      <c r="F3" s="372">
        <f t="shared" ref="F3:F14" si="0">SUM(B3+D3*2)</f>
        <v>10</v>
      </c>
      <c r="H3" s="603"/>
      <c r="I3" s="238" t="s">
        <v>20</v>
      </c>
      <c r="J3" s="238" t="s">
        <v>21</v>
      </c>
      <c r="K3" s="239" t="s">
        <v>157</v>
      </c>
      <c r="L3" s="240" t="s">
        <v>158</v>
      </c>
      <c r="M3" s="240" t="s">
        <v>159</v>
      </c>
      <c r="N3" s="241" t="s">
        <v>160</v>
      </c>
      <c r="O3" s="242" t="s">
        <v>161</v>
      </c>
      <c r="P3" s="239" t="s">
        <v>20</v>
      </c>
      <c r="Q3" s="242" t="s">
        <v>21</v>
      </c>
    </row>
    <row r="4" spans="1:17" ht="33" thickBot="1" x14ac:dyDescent="0.25">
      <c r="A4" s="232" t="s">
        <v>46</v>
      </c>
      <c r="B4" s="218">
        <f>newyellowcards</f>
        <v>12</v>
      </c>
      <c r="C4" s="375" t="s">
        <v>507</v>
      </c>
      <c r="D4" s="219">
        <f>newredcards</f>
        <v>0</v>
      </c>
      <c r="E4" s="220"/>
      <c r="F4" s="372">
        <f t="shared" si="0"/>
        <v>12</v>
      </c>
      <c r="H4" s="243" t="s">
        <v>83</v>
      </c>
      <c r="I4" s="244">
        <v>15</v>
      </c>
      <c r="J4" s="245">
        <v>86</v>
      </c>
      <c r="K4" s="244">
        <v>132</v>
      </c>
      <c r="L4" s="246"/>
      <c r="M4" s="247"/>
      <c r="N4" s="246"/>
      <c r="O4" s="248">
        <f>SUM(K4:N4)</f>
        <v>132</v>
      </c>
      <c r="P4" s="249">
        <f t="shared" ref="P4:P13" si="1">SUM(I4/O4)*10</f>
        <v>1.1363636363636362</v>
      </c>
      <c r="Q4" s="250">
        <f t="shared" ref="Q4:Q13" si="2">SUM(J4/O4)*10</f>
        <v>6.5151515151515147</v>
      </c>
    </row>
    <row r="5" spans="1:17" ht="17" thickBot="1" x14ac:dyDescent="0.25">
      <c r="A5" s="233" t="s">
        <v>83</v>
      </c>
      <c r="B5" s="223">
        <f>antyellowcards</f>
        <v>11</v>
      </c>
      <c r="C5" s="224" t="s">
        <v>451</v>
      </c>
      <c r="D5" s="222">
        <f>antredcards</f>
        <v>1</v>
      </c>
      <c r="E5" s="225" t="s">
        <v>452</v>
      </c>
      <c r="F5" s="372">
        <f t="shared" si="0"/>
        <v>13</v>
      </c>
      <c r="H5" s="251" t="s">
        <v>57</v>
      </c>
      <c r="I5" s="252">
        <v>17</v>
      </c>
      <c r="J5" s="217">
        <v>22</v>
      </c>
      <c r="K5" s="252">
        <v>46</v>
      </c>
      <c r="L5" s="247">
        <v>3</v>
      </c>
      <c r="M5" s="247"/>
      <c r="N5" s="247"/>
      <c r="O5" s="248">
        <f t="shared" ref="O5:O15" si="3">SUM(K5:N5)</f>
        <v>49</v>
      </c>
      <c r="P5" s="249">
        <f t="shared" si="1"/>
        <v>3.4693877551020407</v>
      </c>
      <c r="Q5" s="250">
        <f t="shared" si="2"/>
        <v>4.4897959183673466</v>
      </c>
    </row>
    <row r="6" spans="1:17" ht="33" thickBot="1" x14ac:dyDescent="0.25">
      <c r="A6" s="233" t="s">
        <v>61</v>
      </c>
      <c r="B6" s="221">
        <f>Houston!N22</f>
        <v>13</v>
      </c>
      <c r="C6" s="424" t="s">
        <v>498</v>
      </c>
      <c r="D6" s="222">
        <f>houredcards</f>
        <v>1</v>
      </c>
      <c r="E6" s="225" t="s">
        <v>370</v>
      </c>
      <c r="F6" s="372">
        <f t="shared" si="0"/>
        <v>15</v>
      </c>
      <c r="H6" s="251" t="s">
        <v>51</v>
      </c>
      <c r="I6" s="252">
        <v>29</v>
      </c>
      <c r="J6" s="217">
        <v>43</v>
      </c>
      <c r="K6" s="252">
        <v>94</v>
      </c>
      <c r="L6" s="247">
        <v>13</v>
      </c>
      <c r="M6" s="247"/>
      <c r="N6" s="247"/>
      <c r="O6" s="248">
        <f t="shared" si="3"/>
        <v>107</v>
      </c>
      <c r="P6" s="249">
        <f t="shared" si="1"/>
        <v>2.7102803738317753</v>
      </c>
      <c r="Q6" s="250">
        <f t="shared" si="2"/>
        <v>4.018691588785047</v>
      </c>
    </row>
    <row r="7" spans="1:17" ht="33" thickBot="1" x14ac:dyDescent="0.25">
      <c r="A7" s="233" t="s">
        <v>53</v>
      </c>
      <c r="B7" s="223">
        <f>ogdcyellowcards</f>
        <v>11</v>
      </c>
      <c r="C7" s="226" t="s">
        <v>499</v>
      </c>
      <c r="D7" s="222">
        <f>ogdcredcards</f>
        <v>2</v>
      </c>
      <c r="E7" s="225" t="s">
        <v>412</v>
      </c>
      <c r="F7" s="372">
        <f t="shared" si="0"/>
        <v>15</v>
      </c>
      <c r="H7" s="251" t="s">
        <v>61</v>
      </c>
      <c r="I7" s="252">
        <v>20</v>
      </c>
      <c r="J7" s="217">
        <v>34</v>
      </c>
      <c r="K7" s="252">
        <v>95</v>
      </c>
      <c r="L7" s="247">
        <v>12</v>
      </c>
      <c r="M7" s="247"/>
      <c r="N7" s="247"/>
      <c r="O7" s="248">
        <f t="shared" si="3"/>
        <v>107</v>
      </c>
      <c r="P7" s="249">
        <f t="shared" si="1"/>
        <v>1.8691588785046729</v>
      </c>
      <c r="Q7" s="250">
        <f t="shared" si="2"/>
        <v>3.1775700934579438</v>
      </c>
    </row>
    <row r="8" spans="1:17" ht="33" thickBot="1" x14ac:dyDescent="0.25">
      <c r="A8" s="233" t="s">
        <v>60</v>
      </c>
      <c r="B8" s="223">
        <f>Seattle!N24</f>
        <v>17</v>
      </c>
      <c r="C8" s="396" t="s">
        <v>515</v>
      </c>
      <c r="D8" s="222">
        <f>searedcards</f>
        <v>0</v>
      </c>
      <c r="E8" s="220"/>
      <c r="F8" s="372">
        <f t="shared" si="0"/>
        <v>17</v>
      </c>
      <c r="H8" s="251" t="s">
        <v>52</v>
      </c>
      <c r="I8" s="252">
        <v>6</v>
      </c>
      <c r="J8" s="217">
        <v>51</v>
      </c>
      <c r="K8" s="252">
        <v>99</v>
      </c>
      <c r="L8" s="247">
        <v>5</v>
      </c>
      <c r="M8" s="247"/>
      <c r="N8" s="247"/>
      <c r="O8" s="248">
        <f t="shared" si="3"/>
        <v>104</v>
      </c>
      <c r="P8" s="249">
        <f t="shared" si="1"/>
        <v>0.57692307692307698</v>
      </c>
      <c r="Q8" s="250">
        <f t="shared" si="2"/>
        <v>4.9038461538461533</v>
      </c>
    </row>
    <row r="9" spans="1:17" ht="33" thickBot="1" x14ac:dyDescent="0.25">
      <c r="A9" s="233" t="s">
        <v>55</v>
      </c>
      <c r="B9" s="223">
        <f>utayellowcards</f>
        <v>14</v>
      </c>
      <c r="C9" s="226" t="s">
        <v>500</v>
      </c>
      <c r="D9" s="222">
        <f>utaredcards</f>
        <v>1</v>
      </c>
      <c r="E9" s="395" t="s">
        <v>401</v>
      </c>
      <c r="F9" s="372">
        <f t="shared" si="0"/>
        <v>16</v>
      </c>
      <c r="H9" s="251" t="s">
        <v>46</v>
      </c>
      <c r="I9" s="252">
        <v>22</v>
      </c>
      <c r="J9" s="217">
        <v>46</v>
      </c>
      <c r="K9" s="252">
        <v>86</v>
      </c>
      <c r="L9" s="247">
        <v>5</v>
      </c>
      <c r="M9" s="247"/>
      <c r="N9" s="247"/>
      <c r="O9" s="248">
        <f t="shared" si="3"/>
        <v>91</v>
      </c>
      <c r="P9" s="249">
        <f t="shared" si="1"/>
        <v>2.4175824175824174</v>
      </c>
      <c r="Q9" s="250">
        <f t="shared" si="2"/>
        <v>5.0549450549450547</v>
      </c>
    </row>
    <row r="10" spans="1:17" ht="33" thickBot="1" x14ac:dyDescent="0.25">
      <c r="A10" s="233" t="s">
        <v>52</v>
      </c>
      <c r="B10" s="221">
        <f>miayellowcards</f>
        <v>18</v>
      </c>
      <c r="C10" s="350" t="s">
        <v>501</v>
      </c>
      <c r="D10" s="222">
        <f>miaredcards</f>
        <v>0</v>
      </c>
      <c r="E10" s="220"/>
      <c r="F10" s="372">
        <f t="shared" si="0"/>
        <v>18</v>
      </c>
      <c r="H10" s="251" t="s">
        <v>49</v>
      </c>
      <c r="I10" s="252">
        <v>18</v>
      </c>
      <c r="J10" s="217">
        <v>82</v>
      </c>
      <c r="K10" s="252">
        <v>174</v>
      </c>
      <c r="L10" s="247">
        <v>10</v>
      </c>
      <c r="M10" s="247"/>
      <c r="N10" s="247"/>
      <c r="O10" s="248">
        <f t="shared" si="3"/>
        <v>184</v>
      </c>
      <c r="P10" s="249">
        <f t="shared" si="1"/>
        <v>0.97826086956521741</v>
      </c>
      <c r="Q10" s="250">
        <f t="shared" si="2"/>
        <v>4.4565217391304346</v>
      </c>
    </row>
    <row r="11" spans="1:17" ht="49" thickBot="1" x14ac:dyDescent="0.25">
      <c r="A11" s="233" t="s">
        <v>49</v>
      </c>
      <c r="B11" s="223">
        <f>NOLA!N22</f>
        <v>10</v>
      </c>
      <c r="C11" s="409" t="s">
        <v>502</v>
      </c>
      <c r="D11" s="222">
        <f>nolaredcards</f>
        <v>5</v>
      </c>
      <c r="E11" s="225" t="s">
        <v>456</v>
      </c>
      <c r="F11" s="372">
        <f t="shared" si="0"/>
        <v>20</v>
      </c>
      <c r="H11" s="251" t="s">
        <v>53</v>
      </c>
      <c r="I11" s="252">
        <v>22</v>
      </c>
      <c r="J11" s="217">
        <v>75</v>
      </c>
      <c r="K11" s="252">
        <v>145</v>
      </c>
      <c r="L11" s="247"/>
      <c r="M11" s="247"/>
      <c r="N11" s="247"/>
      <c r="O11" s="248">
        <f t="shared" si="3"/>
        <v>145</v>
      </c>
      <c r="P11" s="249">
        <f t="shared" si="1"/>
        <v>1.5172413793103448</v>
      </c>
      <c r="Q11" s="250">
        <f t="shared" si="2"/>
        <v>5.1724137931034484</v>
      </c>
    </row>
    <row r="12" spans="1:17" ht="33" thickBot="1" x14ac:dyDescent="0.25">
      <c r="A12" s="233" t="s">
        <v>66</v>
      </c>
      <c r="B12" s="223">
        <v>17</v>
      </c>
      <c r="C12" s="226" t="s">
        <v>503</v>
      </c>
      <c r="D12" s="222">
        <f>sdlredcards</f>
        <v>2</v>
      </c>
      <c r="E12" s="225" t="s">
        <v>406</v>
      </c>
      <c r="F12" s="372">
        <f t="shared" si="0"/>
        <v>21</v>
      </c>
      <c r="H12" s="251" t="s">
        <v>63</v>
      </c>
      <c r="I12" s="252">
        <v>43</v>
      </c>
      <c r="J12" s="217">
        <v>116</v>
      </c>
      <c r="K12" s="252">
        <v>239</v>
      </c>
      <c r="L12" s="247">
        <v>26</v>
      </c>
      <c r="M12" s="247">
        <v>4</v>
      </c>
      <c r="N12" s="247"/>
      <c r="O12" s="248">
        <f t="shared" si="3"/>
        <v>269</v>
      </c>
      <c r="P12" s="249">
        <f t="shared" si="1"/>
        <v>1.5985130111524162</v>
      </c>
      <c r="Q12" s="250">
        <f t="shared" si="2"/>
        <v>4.3122676579925647</v>
      </c>
    </row>
    <row r="13" spans="1:17" ht="33" thickBot="1" x14ac:dyDescent="0.25">
      <c r="A13" s="233" t="s">
        <v>51</v>
      </c>
      <c r="B13" s="223">
        <f>Dallas!N23</f>
        <v>20</v>
      </c>
      <c r="C13" s="396" t="s">
        <v>511</v>
      </c>
      <c r="D13" s="222">
        <f>dalredcards</f>
        <v>2</v>
      </c>
      <c r="E13" s="225" t="s">
        <v>394</v>
      </c>
      <c r="F13" s="372">
        <f t="shared" si="0"/>
        <v>24</v>
      </c>
      <c r="H13" s="251" t="s">
        <v>66</v>
      </c>
      <c r="I13" s="252">
        <v>78</v>
      </c>
      <c r="J13" s="217">
        <v>76</v>
      </c>
      <c r="K13" s="252">
        <v>200</v>
      </c>
      <c r="L13" s="247">
        <v>10</v>
      </c>
      <c r="M13" s="247"/>
      <c r="N13" s="247"/>
      <c r="O13" s="248">
        <f t="shared" si="3"/>
        <v>210</v>
      </c>
      <c r="P13" s="249">
        <f t="shared" si="1"/>
        <v>3.7142857142857144</v>
      </c>
      <c r="Q13" s="250">
        <f t="shared" si="2"/>
        <v>3.6190476190476191</v>
      </c>
    </row>
    <row r="14" spans="1:17" ht="33" thickBot="1" x14ac:dyDescent="0.25">
      <c r="A14" s="233" t="s">
        <v>63</v>
      </c>
      <c r="B14" s="223">
        <f>layellowcards</f>
        <v>22</v>
      </c>
      <c r="C14" s="226" t="s">
        <v>504</v>
      </c>
      <c r="D14" s="222">
        <f>laredcards</f>
        <v>3</v>
      </c>
      <c r="E14" s="225" t="s">
        <v>435</v>
      </c>
      <c r="F14" s="372">
        <f t="shared" si="0"/>
        <v>28</v>
      </c>
      <c r="H14" s="251" t="s">
        <v>60</v>
      </c>
      <c r="I14" s="252">
        <v>40</v>
      </c>
      <c r="J14" s="217">
        <v>61</v>
      </c>
      <c r="K14" s="252">
        <v>108</v>
      </c>
      <c r="L14" s="247">
        <v>2</v>
      </c>
      <c r="M14" s="247"/>
      <c r="N14" s="247"/>
      <c r="O14" s="248">
        <f t="shared" si="3"/>
        <v>110</v>
      </c>
      <c r="P14" s="249">
        <f t="shared" ref="P14:P15" si="4">SUM(I14/O14)*10</f>
        <v>3.6363636363636367</v>
      </c>
      <c r="Q14" s="250">
        <f t="shared" ref="Q14:Q15" si="5">SUM(J14/O14)*10</f>
        <v>5.5454545454545459</v>
      </c>
    </row>
    <row r="15" spans="1:17" ht="17" thickBot="1" x14ac:dyDescent="0.25">
      <c r="A15" s="374" t="s">
        <v>149</v>
      </c>
      <c r="B15" s="223">
        <f>SUM(B3:B14)</f>
        <v>175</v>
      </c>
      <c r="C15" s="226"/>
      <c r="D15" s="227">
        <f>SUM(D3:D14)</f>
        <v>17</v>
      </c>
      <c r="E15" s="228"/>
      <c r="F15" s="235"/>
      <c r="H15" s="251" t="s">
        <v>55</v>
      </c>
      <c r="I15" s="252">
        <v>19</v>
      </c>
      <c r="J15" s="217">
        <v>75</v>
      </c>
      <c r="K15" s="252">
        <v>100</v>
      </c>
      <c r="L15" s="247">
        <v>6</v>
      </c>
      <c r="M15" s="247"/>
      <c r="N15" s="247"/>
      <c r="O15" s="248">
        <f t="shared" si="3"/>
        <v>106</v>
      </c>
      <c r="P15" s="249">
        <f t="shared" si="4"/>
        <v>1.7924528301886791</v>
      </c>
      <c r="Q15" s="250">
        <f t="shared" si="5"/>
        <v>7.0754716981132066</v>
      </c>
    </row>
    <row r="16" spans="1:17" ht="17" thickBot="1" x14ac:dyDescent="0.25">
      <c r="H16" s="260" t="s">
        <v>167</v>
      </c>
      <c r="I16" s="213">
        <f>SUM(I4:I15)</f>
        <v>329</v>
      </c>
      <c r="J16" s="213">
        <f t="shared" ref="J16:Q16" si="6">SUM(J4:J15)</f>
        <v>767</v>
      </c>
      <c r="K16" s="213">
        <f t="shared" si="6"/>
        <v>1518</v>
      </c>
      <c r="L16" s="213">
        <f t="shared" si="6"/>
        <v>92</v>
      </c>
      <c r="M16" s="213">
        <f t="shared" si="6"/>
        <v>4</v>
      </c>
      <c r="N16" s="213">
        <f t="shared" si="6"/>
        <v>0</v>
      </c>
      <c r="O16" s="213">
        <f t="shared" si="6"/>
        <v>1614</v>
      </c>
      <c r="P16" s="373">
        <f t="shared" si="6"/>
        <v>25.416813579173628</v>
      </c>
      <c r="Q16" s="373">
        <f t="shared" si="6"/>
        <v>58.341177377394885</v>
      </c>
    </row>
    <row r="17" spans="1:17" x14ac:dyDescent="0.2">
      <c r="A17" s="606" t="s">
        <v>152</v>
      </c>
      <c r="B17" s="606"/>
      <c r="C17" s="606"/>
    </row>
    <row r="18" spans="1:17" x14ac:dyDescent="0.2">
      <c r="H18" s="216" t="s">
        <v>168</v>
      </c>
    </row>
    <row r="19" spans="1:17" ht="17" thickBot="1" x14ac:dyDescent="0.25">
      <c r="A19" s="178" t="s">
        <v>429</v>
      </c>
      <c r="H19" s="216"/>
    </row>
    <row r="20" spans="1:17" ht="17" thickBot="1" x14ac:dyDescent="0.25">
      <c r="H20" s="216"/>
      <c r="I20" s="599" t="s">
        <v>154</v>
      </c>
      <c r="J20" s="600"/>
      <c r="K20" s="599" t="s">
        <v>162</v>
      </c>
      <c r="L20" s="601"/>
      <c r="M20" s="601"/>
      <c r="N20" s="601"/>
      <c r="O20" s="600"/>
      <c r="P20" s="599" t="s">
        <v>156</v>
      </c>
      <c r="Q20" s="600"/>
    </row>
    <row r="21" spans="1:17" ht="17" thickBot="1" x14ac:dyDescent="0.25">
      <c r="H21" s="236" t="s">
        <v>153</v>
      </c>
      <c r="I21" s="237" t="s">
        <v>20</v>
      </c>
      <c r="J21" s="237" t="s">
        <v>21</v>
      </c>
      <c r="K21" s="239" t="s">
        <v>163</v>
      </c>
      <c r="L21" s="240" t="s">
        <v>164</v>
      </c>
      <c r="M21" s="240" t="s">
        <v>165</v>
      </c>
      <c r="N21" s="241" t="s">
        <v>166</v>
      </c>
      <c r="O21" s="242" t="s">
        <v>161</v>
      </c>
      <c r="P21" s="239" t="s">
        <v>20</v>
      </c>
      <c r="Q21" s="242" t="s">
        <v>21</v>
      </c>
    </row>
    <row r="22" spans="1:17" x14ac:dyDescent="0.2">
      <c r="A22" s="178"/>
      <c r="H22" s="243" t="s">
        <v>83</v>
      </c>
      <c r="I22" s="214">
        <v>29</v>
      </c>
      <c r="J22" s="252">
        <v>24</v>
      </c>
      <c r="K22" s="252">
        <v>76</v>
      </c>
      <c r="L22" s="252"/>
      <c r="M22" s="252"/>
      <c r="N22" s="252"/>
      <c r="O22" s="248">
        <f>SUM(K22:N22)</f>
        <v>76</v>
      </c>
      <c r="P22" s="249">
        <f>SUM(I22/O22)*10</f>
        <v>3.8157894736842106</v>
      </c>
      <c r="Q22" s="250">
        <f>SUM(J22/O22)*10</f>
        <v>3.1578947368421053</v>
      </c>
    </row>
    <row r="23" spans="1:17" x14ac:dyDescent="0.2">
      <c r="A23" s="259"/>
      <c r="B23" s="216"/>
      <c r="C23" s="216"/>
      <c r="D23" s="216"/>
      <c r="E23" s="216"/>
      <c r="F23" s="216"/>
      <c r="G23" s="216"/>
      <c r="H23" s="251" t="s">
        <v>57</v>
      </c>
      <c r="I23" s="214">
        <v>56</v>
      </c>
      <c r="J23" s="252">
        <v>27</v>
      </c>
      <c r="K23" s="252">
        <v>172</v>
      </c>
      <c r="L23" s="252"/>
      <c r="M23" s="252"/>
      <c r="N23" s="252"/>
      <c r="O23" s="248">
        <f t="shared" ref="O23:O33" si="7">SUM(K23:N23)</f>
        <v>172</v>
      </c>
      <c r="P23" s="249">
        <f t="shared" ref="P23:P33" si="8">SUM(I23/O23)*10</f>
        <v>3.2558139534883725</v>
      </c>
      <c r="Q23" s="250">
        <f t="shared" ref="Q23:Q34" si="9">SUM(J23/O23)*10</f>
        <v>1.5697674418604652</v>
      </c>
    </row>
    <row r="24" spans="1:17" x14ac:dyDescent="0.2">
      <c r="A24" s="259"/>
      <c r="B24" s="216"/>
      <c r="C24" s="216"/>
      <c r="D24" s="216"/>
      <c r="E24" s="216"/>
      <c r="F24" s="216"/>
      <c r="G24" s="216"/>
      <c r="H24" s="251" t="s">
        <v>51</v>
      </c>
      <c r="I24" s="214">
        <v>128</v>
      </c>
      <c r="J24" s="252">
        <v>42</v>
      </c>
      <c r="K24" s="252">
        <v>197</v>
      </c>
      <c r="L24" s="252">
        <v>28</v>
      </c>
      <c r="M24" s="252"/>
      <c r="N24" s="252"/>
      <c r="O24" s="248">
        <f t="shared" si="7"/>
        <v>225</v>
      </c>
      <c r="P24" s="249">
        <f t="shared" si="8"/>
        <v>5.6888888888888891</v>
      </c>
      <c r="Q24" s="250">
        <f t="shared" si="9"/>
        <v>1.8666666666666667</v>
      </c>
    </row>
    <row r="25" spans="1:17" x14ac:dyDescent="0.2">
      <c r="H25" s="251" t="s">
        <v>61</v>
      </c>
      <c r="I25" s="214">
        <v>63</v>
      </c>
      <c r="J25" s="252">
        <v>43</v>
      </c>
      <c r="K25" s="252">
        <v>167</v>
      </c>
      <c r="L25" s="252">
        <v>1</v>
      </c>
      <c r="M25" s="252">
        <v>4</v>
      </c>
      <c r="N25" s="252"/>
      <c r="O25" s="248">
        <f t="shared" si="7"/>
        <v>172</v>
      </c>
      <c r="P25" s="249">
        <f t="shared" si="8"/>
        <v>3.6627906976744184</v>
      </c>
      <c r="Q25" s="250">
        <f t="shared" si="9"/>
        <v>2.5</v>
      </c>
    </row>
    <row r="26" spans="1:17" x14ac:dyDescent="0.2">
      <c r="A26" s="256"/>
      <c r="H26" s="251" t="s">
        <v>52</v>
      </c>
      <c r="I26" s="214">
        <v>77</v>
      </c>
      <c r="J26" s="252">
        <v>17</v>
      </c>
      <c r="K26" s="252">
        <v>116</v>
      </c>
      <c r="L26" s="252"/>
      <c r="M26" s="252"/>
      <c r="N26" s="252"/>
      <c r="O26" s="248">
        <f t="shared" si="7"/>
        <v>116</v>
      </c>
      <c r="P26" s="249">
        <f t="shared" si="8"/>
        <v>6.6379310344827589</v>
      </c>
      <c r="Q26" s="250">
        <f t="shared" si="9"/>
        <v>1.4655172413793103</v>
      </c>
    </row>
    <row r="27" spans="1:17" x14ac:dyDescent="0.2">
      <c r="H27" s="251" t="s">
        <v>46</v>
      </c>
      <c r="I27" s="214">
        <v>54</v>
      </c>
      <c r="J27" s="252">
        <v>24</v>
      </c>
      <c r="K27" s="252">
        <v>152</v>
      </c>
      <c r="L27" s="252">
        <v>3</v>
      </c>
      <c r="M27" s="252"/>
      <c r="N27" s="252"/>
      <c r="O27" s="248">
        <f t="shared" si="7"/>
        <v>155</v>
      </c>
      <c r="P27" s="249">
        <f t="shared" si="8"/>
        <v>3.4838709677419355</v>
      </c>
      <c r="Q27" s="250">
        <f t="shared" si="9"/>
        <v>1.5483870967741935</v>
      </c>
    </row>
    <row r="28" spans="1:17" x14ac:dyDescent="0.2">
      <c r="H28" s="251" t="s">
        <v>49</v>
      </c>
      <c r="I28" s="214">
        <v>46</v>
      </c>
      <c r="J28" s="252">
        <v>3</v>
      </c>
      <c r="K28" s="252">
        <v>70</v>
      </c>
      <c r="L28" s="252">
        <v>4</v>
      </c>
      <c r="M28" s="252"/>
      <c r="N28" s="252"/>
      <c r="O28" s="248">
        <f t="shared" si="7"/>
        <v>74</v>
      </c>
      <c r="P28" s="249">
        <f t="shared" si="8"/>
        <v>6.2162162162162158</v>
      </c>
      <c r="Q28" s="250">
        <f t="shared" si="9"/>
        <v>0.40540540540540543</v>
      </c>
    </row>
    <row r="29" spans="1:17" x14ac:dyDescent="0.2">
      <c r="H29" s="251" t="s">
        <v>53</v>
      </c>
      <c r="I29" s="214">
        <v>62</v>
      </c>
      <c r="J29" s="252">
        <v>44</v>
      </c>
      <c r="K29" s="252">
        <v>163</v>
      </c>
      <c r="L29" s="252">
        <v>13</v>
      </c>
      <c r="M29" s="252"/>
      <c r="N29" s="252"/>
      <c r="O29" s="248">
        <f t="shared" si="7"/>
        <v>176</v>
      </c>
      <c r="P29" s="249">
        <f t="shared" si="8"/>
        <v>3.5227272727272729</v>
      </c>
      <c r="Q29" s="250">
        <f t="shared" si="9"/>
        <v>2.5</v>
      </c>
    </row>
    <row r="30" spans="1:17" x14ac:dyDescent="0.2">
      <c r="A30" s="256"/>
      <c r="H30" s="251" t="s">
        <v>63</v>
      </c>
      <c r="I30" s="214">
        <v>49</v>
      </c>
      <c r="J30" s="252">
        <v>10</v>
      </c>
      <c r="K30" s="252">
        <v>54</v>
      </c>
      <c r="L30" s="252">
        <v>10</v>
      </c>
      <c r="M30" s="252"/>
      <c r="N30" s="252"/>
      <c r="O30" s="248">
        <f t="shared" si="7"/>
        <v>64</v>
      </c>
      <c r="P30" s="249">
        <f t="shared" si="8"/>
        <v>7.65625</v>
      </c>
      <c r="Q30" s="250">
        <f t="shared" si="9"/>
        <v>1.5625</v>
      </c>
    </row>
    <row r="31" spans="1:17" x14ac:dyDescent="0.2">
      <c r="H31" s="251" t="s">
        <v>66</v>
      </c>
      <c r="I31" s="214">
        <v>40</v>
      </c>
      <c r="J31" s="252">
        <v>21</v>
      </c>
      <c r="K31" s="252">
        <v>75</v>
      </c>
      <c r="L31" s="252">
        <v>1</v>
      </c>
      <c r="M31" s="252"/>
      <c r="N31" s="252">
        <v>5</v>
      </c>
      <c r="O31" s="248">
        <f t="shared" si="7"/>
        <v>81</v>
      </c>
      <c r="P31" s="249">
        <f t="shared" si="8"/>
        <v>4.9382716049382713</v>
      </c>
      <c r="Q31" s="250">
        <f t="shared" si="9"/>
        <v>2.5925925925925926</v>
      </c>
    </row>
    <row r="32" spans="1:17" x14ac:dyDescent="0.2">
      <c r="H32" s="251" t="s">
        <v>60</v>
      </c>
      <c r="I32" s="214">
        <v>100</v>
      </c>
      <c r="J32" s="252">
        <v>28</v>
      </c>
      <c r="K32" s="252">
        <v>142</v>
      </c>
      <c r="L32" s="252">
        <v>9</v>
      </c>
      <c r="M32" s="252"/>
      <c r="N32" s="252"/>
      <c r="O32" s="248">
        <f t="shared" si="7"/>
        <v>151</v>
      </c>
      <c r="P32" s="249">
        <f t="shared" si="8"/>
        <v>6.6225165562913908</v>
      </c>
      <c r="Q32" s="250">
        <f t="shared" si="9"/>
        <v>1.8543046357615895</v>
      </c>
    </row>
    <row r="33" spans="1:17" ht="17" thickBot="1" x14ac:dyDescent="0.25">
      <c r="A33" s="257"/>
      <c r="H33" s="251" t="s">
        <v>55</v>
      </c>
      <c r="I33" s="214">
        <v>63</v>
      </c>
      <c r="J33" s="252">
        <v>46</v>
      </c>
      <c r="K33" s="252">
        <v>88</v>
      </c>
      <c r="L33" s="252">
        <v>7</v>
      </c>
      <c r="M33" s="252"/>
      <c r="N33" s="252"/>
      <c r="O33" s="248">
        <f t="shared" si="7"/>
        <v>95</v>
      </c>
      <c r="P33" s="249">
        <f t="shared" si="8"/>
        <v>6.6315789473684204</v>
      </c>
      <c r="Q33" s="250">
        <f t="shared" si="9"/>
        <v>4.8421052631578947</v>
      </c>
    </row>
    <row r="34" spans="1:17" ht="17" thickBot="1" x14ac:dyDescent="0.25">
      <c r="A34" s="257"/>
      <c r="H34" s="258" t="s">
        <v>167</v>
      </c>
      <c r="I34" s="253">
        <f t="shared" ref="I34:O34" si="10">SUM(I22:I33)</f>
        <v>767</v>
      </c>
      <c r="J34" s="255">
        <f t="shared" si="10"/>
        <v>329</v>
      </c>
      <c r="K34" s="253">
        <f t="shared" si="10"/>
        <v>1472</v>
      </c>
      <c r="L34" s="254">
        <f t="shared" si="10"/>
        <v>76</v>
      </c>
      <c r="M34" s="254">
        <f t="shared" si="10"/>
        <v>4</v>
      </c>
      <c r="N34" s="254">
        <f t="shared" si="10"/>
        <v>5</v>
      </c>
      <c r="O34" s="255">
        <f t="shared" si="10"/>
        <v>1557</v>
      </c>
      <c r="P34" s="261">
        <f>SUM(I34/O34)*10</f>
        <v>4.9261400128452157</v>
      </c>
      <c r="Q34" s="261">
        <f t="shared" si="9"/>
        <v>2.113037893384714</v>
      </c>
    </row>
    <row r="35" spans="1:17" x14ac:dyDescent="0.2">
      <c r="A35" s="257"/>
    </row>
    <row r="36" spans="1:17" x14ac:dyDescent="0.2">
      <c r="A36" s="257"/>
      <c r="H36" s="178" t="s">
        <v>429</v>
      </c>
    </row>
    <row r="37" spans="1:17" x14ac:dyDescent="0.2">
      <c r="A37" s="257"/>
    </row>
    <row r="38" spans="1:17" x14ac:dyDescent="0.2">
      <c r="A38" s="257"/>
    </row>
    <row r="39" spans="1:17" x14ac:dyDescent="0.2">
      <c r="A39" s="257"/>
    </row>
    <row r="41" spans="1:17" x14ac:dyDescent="0.2">
      <c r="A41" s="257"/>
    </row>
    <row r="42" spans="1:17" x14ac:dyDescent="0.2">
      <c r="A42" s="257"/>
    </row>
  </sheetData>
  <mergeCells count="10">
    <mergeCell ref="D2:E2"/>
    <mergeCell ref="A1:B1"/>
    <mergeCell ref="A17:C17"/>
    <mergeCell ref="P2:Q2"/>
    <mergeCell ref="K2:O2"/>
    <mergeCell ref="I20:J20"/>
    <mergeCell ref="K20:O20"/>
    <mergeCell ref="P20:Q20"/>
    <mergeCell ref="H2:H3"/>
    <mergeCell ref="I2:J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5B00A-994B-0C48-90A8-28519C1B5FB9}">
  <dimension ref="A1:AQ25"/>
  <sheetViews>
    <sheetView zoomScale="80" zoomScaleNormal="80" workbookViewId="0">
      <selection sqref="A1:D1"/>
    </sheetView>
  </sheetViews>
  <sheetFormatPr baseColWidth="10" defaultColWidth="11.5" defaultRowHeight="16" x14ac:dyDescent="0.2"/>
  <cols>
    <col min="1" max="1" width="6.5" bestFit="1" customWidth="1"/>
    <col min="2" max="2" width="6" bestFit="1" customWidth="1"/>
    <col min="3" max="3" width="12" customWidth="1"/>
    <col min="4" max="4" width="4.83203125" customWidth="1"/>
    <col min="5" max="7" width="4.6640625" customWidth="1"/>
    <col min="8" max="18" width="4.83203125" customWidth="1"/>
    <col min="19" max="19" width="7" customWidth="1"/>
    <col min="20" max="20" width="6.83203125" customWidth="1"/>
    <col min="21" max="21" width="24" bestFit="1" customWidth="1"/>
    <col min="22" max="23" width="29" bestFit="1" customWidth="1"/>
    <col min="24" max="24" width="24" bestFit="1" customWidth="1"/>
    <col min="25" max="40" width="4.83203125" customWidth="1"/>
    <col min="42" max="42" width="14.5" bestFit="1" customWidth="1"/>
  </cols>
  <sheetData>
    <row r="1" spans="1:43" ht="17" thickBot="1" x14ac:dyDescent="0.25">
      <c r="A1" s="444" t="s">
        <v>70</v>
      </c>
      <c r="B1" s="445"/>
      <c r="C1" s="445"/>
      <c r="D1" s="446"/>
      <c r="E1" s="447" t="s">
        <v>0</v>
      </c>
      <c r="F1" s="448"/>
      <c r="G1" s="449"/>
      <c r="H1" s="447" t="s">
        <v>1</v>
      </c>
      <c r="I1" s="449"/>
      <c r="J1" s="450" t="s">
        <v>2</v>
      </c>
      <c r="K1" s="451"/>
      <c r="L1" s="451"/>
      <c r="M1" s="452"/>
      <c r="N1" s="450" t="s">
        <v>3</v>
      </c>
      <c r="O1" s="452"/>
      <c r="P1" s="450" t="s">
        <v>4</v>
      </c>
      <c r="Q1" s="451"/>
      <c r="R1" s="452"/>
      <c r="S1" s="334" t="s">
        <v>5</v>
      </c>
      <c r="T1" s="334" t="s">
        <v>6</v>
      </c>
      <c r="U1" s="335" t="s">
        <v>7</v>
      </c>
      <c r="V1" s="336" t="s">
        <v>8</v>
      </c>
      <c r="W1" s="336" t="s">
        <v>9</v>
      </c>
      <c r="X1" s="337" t="s">
        <v>10</v>
      </c>
      <c r="Y1" s="453" t="s">
        <v>11</v>
      </c>
      <c r="Z1" s="454"/>
      <c r="AA1" s="454"/>
      <c r="AB1" s="455"/>
      <c r="AC1" s="453" t="s">
        <v>12</v>
      </c>
      <c r="AD1" s="454"/>
      <c r="AE1" s="454"/>
      <c r="AF1" s="455"/>
      <c r="AG1" s="453" t="s">
        <v>13</v>
      </c>
      <c r="AH1" s="454"/>
      <c r="AI1" s="454"/>
      <c r="AJ1" s="455"/>
      <c r="AK1" s="453" t="s">
        <v>14</v>
      </c>
      <c r="AL1" s="454"/>
      <c r="AM1" s="454"/>
      <c r="AN1" s="455"/>
      <c r="AP1" s="443" t="s">
        <v>195</v>
      </c>
      <c r="AQ1" s="443"/>
    </row>
    <row r="2" spans="1:43" ht="17" thickBot="1" x14ac:dyDescent="0.25">
      <c r="A2" s="338" t="s">
        <v>15</v>
      </c>
      <c r="B2" s="339" t="s">
        <v>16</v>
      </c>
      <c r="C2" s="340" t="s">
        <v>17</v>
      </c>
      <c r="D2" s="340" t="s">
        <v>18</v>
      </c>
      <c r="E2" s="341" t="s">
        <v>19</v>
      </c>
      <c r="F2" s="341" t="s">
        <v>20</v>
      </c>
      <c r="G2" s="341" t="s">
        <v>21</v>
      </c>
      <c r="H2" s="342" t="s">
        <v>22</v>
      </c>
      <c r="I2" s="342" t="s">
        <v>23</v>
      </c>
      <c r="J2" s="342" t="s">
        <v>24</v>
      </c>
      <c r="K2" s="342" t="s">
        <v>25</v>
      </c>
      <c r="L2" s="342" t="s">
        <v>26</v>
      </c>
      <c r="M2" s="342" t="s">
        <v>27</v>
      </c>
      <c r="N2" s="342" t="s">
        <v>28</v>
      </c>
      <c r="O2" s="342" t="s">
        <v>19</v>
      </c>
      <c r="P2" s="342" t="s">
        <v>22</v>
      </c>
      <c r="Q2" s="342" t="s">
        <v>23</v>
      </c>
      <c r="R2" s="342" t="s">
        <v>24</v>
      </c>
      <c r="S2" s="343"/>
      <c r="T2" s="344"/>
      <c r="U2" s="345"/>
      <c r="V2" s="343"/>
      <c r="W2" s="346"/>
      <c r="X2" s="347"/>
      <c r="Y2" s="348" t="s">
        <v>29</v>
      </c>
      <c r="Z2" s="348" t="s">
        <v>30</v>
      </c>
      <c r="AA2" s="348" t="s">
        <v>26</v>
      </c>
      <c r="AB2" s="348" t="s">
        <v>31</v>
      </c>
      <c r="AC2" s="348" t="s">
        <v>29</v>
      </c>
      <c r="AD2" s="348" t="s">
        <v>30</v>
      </c>
      <c r="AE2" s="348" t="s">
        <v>26</v>
      </c>
      <c r="AF2" s="348" t="s">
        <v>31</v>
      </c>
      <c r="AG2" s="348" t="s">
        <v>29</v>
      </c>
      <c r="AH2" s="348" t="s">
        <v>30</v>
      </c>
      <c r="AI2" s="348" t="s">
        <v>26</v>
      </c>
      <c r="AJ2" s="348" t="s">
        <v>31</v>
      </c>
      <c r="AK2" s="348" t="s">
        <v>29</v>
      </c>
      <c r="AL2" s="348" t="s">
        <v>30</v>
      </c>
      <c r="AM2" s="348" t="s">
        <v>26</v>
      </c>
      <c r="AN2" s="349" t="s">
        <v>31</v>
      </c>
      <c r="AP2" s="333" t="s">
        <v>187</v>
      </c>
      <c r="AQ2" s="329">
        <f>Y23+16</f>
        <v>34</v>
      </c>
    </row>
    <row r="3" spans="1:43" ht="17" thickBot="1" x14ac:dyDescent="0.25">
      <c r="A3" s="1" t="s">
        <v>90</v>
      </c>
      <c r="B3" s="2" t="s">
        <v>44</v>
      </c>
      <c r="C3" s="3" t="s">
        <v>52</v>
      </c>
      <c r="D3" s="4" t="s">
        <v>21</v>
      </c>
      <c r="E3" s="4" t="s">
        <v>30</v>
      </c>
      <c r="F3" s="4">
        <v>23</v>
      </c>
      <c r="G3" s="5">
        <v>19</v>
      </c>
      <c r="H3" s="6">
        <v>0</v>
      </c>
      <c r="I3" s="7">
        <v>0</v>
      </c>
      <c r="J3" s="7">
        <v>2</v>
      </c>
      <c r="K3" s="7">
        <v>0</v>
      </c>
      <c r="L3" s="7">
        <v>0</v>
      </c>
      <c r="M3" s="7">
        <v>3</v>
      </c>
      <c r="N3" s="7">
        <v>0</v>
      </c>
      <c r="O3" s="7">
        <v>0</v>
      </c>
      <c r="P3" s="7">
        <v>0</v>
      </c>
      <c r="Q3" s="7">
        <v>1</v>
      </c>
      <c r="R3" s="7">
        <v>1</v>
      </c>
      <c r="S3" s="8"/>
      <c r="T3" s="15" t="s">
        <v>226</v>
      </c>
      <c r="U3" s="10" t="s">
        <v>208</v>
      </c>
      <c r="V3" s="11" t="s">
        <v>211</v>
      </c>
      <c r="W3" s="12" t="s">
        <v>209</v>
      </c>
      <c r="X3" s="11" t="s">
        <v>210</v>
      </c>
      <c r="Y3" s="11">
        <v>1</v>
      </c>
      <c r="Z3" s="11">
        <v>1</v>
      </c>
      <c r="AA3" s="11">
        <v>0</v>
      </c>
      <c r="AB3" s="13">
        <v>0</v>
      </c>
      <c r="AC3" s="11"/>
      <c r="AD3" s="11"/>
      <c r="AE3" s="11"/>
      <c r="AF3" s="13"/>
      <c r="AG3" s="11">
        <v>1</v>
      </c>
      <c r="AH3" s="11">
        <v>1</v>
      </c>
      <c r="AI3" s="11">
        <v>0</v>
      </c>
      <c r="AJ3" s="13">
        <v>0</v>
      </c>
      <c r="AK3" s="11"/>
      <c r="AL3" s="11"/>
      <c r="AM3" s="11"/>
      <c r="AN3" s="13"/>
      <c r="AP3" s="333" t="s">
        <v>188</v>
      </c>
      <c r="AQ3" s="329">
        <f>Z23+3</f>
        <v>12</v>
      </c>
    </row>
    <row r="4" spans="1:43" ht="17" thickBot="1" x14ac:dyDescent="0.25">
      <c r="A4" s="1" t="s">
        <v>48</v>
      </c>
      <c r="B4" s="2" t="s">
        <v>44</v>
      </c>
      <c r="C4" s="3" t="s">
        <v>55</v>
      </c>
      <c r="D4" s="4" t="s">
        <v>21</v>
      </c>
      <c r="E4" s="4" t="s">
        <v>31</v>
      </c>
      <c r="F4" s="4">
        <v>15</v>
      </c>
      <c r="G4" s="5">
        <v>29</v>
      </c>
      <c r="H4" s="6">
        <v>0</v>
      </c>
      <c r="I4" s="7">
        <v>0</v>
      </c>
      <c r="J4" s="7">
        <v>2</v>
      </c>
      <c r="K4" s="4">
        <v>1</v>
      </c>
      <c r="L4" s="7">
        <v>0</v>
      </c>
      <c r="M4" s="4">
        <v>1</v>
      </c>
      <c r="N4" s="7">
        <v>0</v>
      </c>
      <c r="O4" s="7">
        <v>0</v>
      </c>
      <c r="P4" s="7">
        <v>1</v>
      </c>
      <c r="Q4" s="4">
        <v>0</v>
      </c>
      <c r="R4" s="7">
        <v>4</v>
      </c>
      <c r="S4" s="8"/>
      <c r="T4" s="9" t="s">
        <v>252</v>
      </c>
      <c r="U4" s="10" t="s">
        <v>249</v>
      </c>
      <c r="V4" s="11" t="s">
        <v>206</v>
      </c>
      <c r="W4" s="11" t="s">
        <v>250</v>
      </c>
      <c r="X4" s="12" t="s">
        <v>251</v>
      </c>
      <c r="Y4" s="11">
        <v>1</v>
      </c>
      <c r="Z4" s="11">
        <v>0</v>
      </c>
      <c r="AA4" s="11">
        <v>0</v>
      </c>
      <c r="AB4" s="13">
        <v>1</v>
      </c>
      <c r="AC4" s="11"/>
      <c r="AD4" s="11"/>
      <c r="AE4" s="11"/>
      <c r="AF4" s="13"/>
      <c r="AG4" s="11">
        <v>1</v>
      </c>
      <c r="AH4" s="11">
        <v>0</v>
      </c>
      <c r="AI4" s="11">
        <v>0</v>
      </c>
      <c r="AJ4" s="13">
        <v>1</v>
      </c>
      <c r="AK4" s="11"/>
      <c r="AL4" s="11"/>
      <c r="AM4" s="11"/>
      <c r="AN4" s="13"/>
      <c r="AP4" s="333" t="s">
        <v>189</v>
      </c>
      <c r="AQ4" s="329">
        <f>AA23</f>
        <v>1</v>
      </c>
    </row>
    <row r="5" spans="1:43" ht="17" thickBot="1" x14ac:dyDescent="0.25">
      <c r="A5" s="1" t="s">
        <v>81</v>
      </c>
      <c r="B5" s="2" t="s">
        <v>44</v>
      </c>
      <c r="C5" s="3" t="s">
        <v>53</v>
      </c>
      <c r="D5" s="4" t="s">
        <v>21</v>
      </c>
      <c r="E5" s="4" t="s">
        <v>26</v>
      </c>
      <c r="F5" s="4">
        <v>22</v>
      </c>
      <c r="G5" s="5">
        <v>22</v>
      </c>
      <c r="H5" s="65">
        <v>0</v>
      </c>
      <c r="I5" s="5">
        <v>0</v>
      </c>
      <c r="J5" s="7">
        <v>3</v>
      </c>
      <c r="K5" s="7">
        <v>1</v>
      </c>
      <c r="L5" s="7">
        <v>0</v>
      </c>
      <c r="M5" s="7">
        <v>1</v>
      </c>
      <c r="N5" s="7">
        <v>1</v>
      </c>
      <c r="O5" s="7">
        <v>0</v>
      </c>
      <c r="P5" s="4">
        <v>0</v>
      </c>
      <c r="Q5" s="7">
        <v>0</v>
      </c>
      <c r="R5" s="4">
        <v>3</v>
      </c>
      <c r="S5" s="8"/>
      <c r="T5" s="9" t="s">
        <v>252</v>
      </c>
      <c r="U5" s="10" t="s">
        <v>205</v>
      </c>
      <c r="V5" s="11" t="s">
        <v>207</v>
      </c>
      <c r="W5" s="11" t="s">
        <v>202</v>
      </c>
      <c r="X5" s="12" t="s">
        <v>273</v>
      </c>
      <c r="Y5" s="11">
        <v>1</v>
      </c>
      <c r="Z5" s="11">
        <v>0</v>
      </c>
      <c r="AA5" s="11">
        <v>1</v>
      </c>
      <c r="AB5" s="13">
        <v>0</v>
      </c>
      <c r="AC5" s="11"/>
      <c r="AD5" s="11"/>
      <c r="AE5" s="11"/>
      <c r="AF5" s="13"/>
      <c r="AG5" s="11">
        <v>1</v>
      </c>
      <c r="AH5" s="11">
        <v>0</v>
      </c>
      <c r="AI5" s="11">
        <v>1</v>
      </c>
      <c r="AJ5" s="13">
        <v>0</v>
      </c>
      <c r="AK5" s="11"/>
      <c r="AL5" s="11"/>
      <c r="AM5" s="11"/>
      <c r="AN5" s="13"/>
      <c r="AP5" s="333" t="s">
        <v>190</v>
      </c>
      <c r="AQ5" s="329">
        <f>AB23+13</f>
        <v>21</v>
      </c>
    </row>
    <row r="6" spans="1:43" ht="17" thickBot="1" x14ac:dyDescent="0.25">
      <c r="A6" s="66" t="s">
        <v>82</v>
      </c>
      <c r="B6" s="67" t="s">
        <v>44</v>
      </c>
      <c r="C6" s="68" t="s">
        <v>46</v>
      </c>
      <c r="D6" s="69" t="s">
        <v>47</v>
      </c>
      <c r="E6" s="69" t="s">
        <v>31</v>
      </c>
      <c r="F6" s="69">
        <v>17</v>
      </c>
      <c r="G6" s="70">
        <v>22</v>
      </c>
      <c r="H6" s="70">
        <v>0</v>
      </c>
      <c r="I6" s="72">
        <v>1</v>
      </c>
      <c r="J6" s="69">
        <v>2</v>
      </c>
      <c r="K6" s="69">
        <v>1</v>
      </c>
      <c r="L6" s="72">
        <v>0</v>
      </c>
      <c r="M6" s="72">
        <v>1</v>
      </c>
      <c r="N6" s="72">
        <v>0</v>
      </c>
      <c r="O6" s="72">
        <v>0</v>
      </c>
      <c r="P6" s="72">
        <v>0</v>
      </c>
      <c r="Q6" s="69">
        <v>0</v>
      </c>
      <c r="R6" s="72">
        <v>3</v>
      </c>
      <c r="S6" s="73"/>
      <c r="T6" s="74" t="s">
        <v>306</v>
      </c>
      <c r="U6" s="76" t="s">
        <v>197</v>
      </c>
      <c r="V6" s="76" t="s">
        <v>211</v>
      </c>
      <c r="W6" s="76" t="s">
        <v>249</v>
      </c>
      <c r="X6" s="75" t="s">
        <v>296</v>
      </c>
      <c r="Y6" s="76">
        <v>1</v>
      </c>
      <c r="Z6" s="76">
        <v>0</v>
      </c>
      <c r="AA6" s="76">
        <v>0</v>
      </c>
      <c r="AB6" s="78">
        <v>1</v>
      </c>
      <c r="AC6" s="76">
        <v>1</v>
      </c>
      <c r="AD6" s="76">
        <v>0</v>
      </c>
      <c r="AE6" s="76">
        <v>0</v>
      </c>
      <c r="AF6" s="78">
        <v>1</v>
      </c>
      <c r="AG6" s="76"/>
      <c r="AH6" s="76"/>
      <c r="AI6" s="76"/>
      <c r="AJ6" s="78"/>
      <c r="AK6" s="76"/>
      <c r="AL6" s="76"/>
      <c r="AM6" s="76"/>
      <c r="AN6" s="78"/>
      <c r="AP6" s="333" t="s">
        <v>191</v>
      </c>
      <c r="AQ6" s="329">
        <f>F23+327</f>
        <v>843</v>
      </c>
    </row>
    <row r="7" spans="1:43" ht="17" thickBot="1" x14ac:dyDescent="0.25">
      <c r="A7" s="66" t="s">
        <v>34</v>
      </c>
      <c r="B7" s="67" t="s">
        <v>44</v>
      </c>
      <c r="C7" s="68" t="s">
        <v>60</v>
      </c>
      <c r="D7" s="69" t="s">
        <v>47</v>
      </c>
      <c r="E7" s="69" t="s">
        <v>31</v>
      </c>
      <c r="F7" s="69">
        <v>26</v>
      </c>
      <c r="G7" s="70">
        <v>34</v>
      </c>
      <c r="H7" s="71">
        <v>1</v>
      </c>
      <c r="I7" s="69">
        <v>0</v>
      </c>
      <c r="J7" s="72">
        <v>4</v>
      </c>
      <c r="K7" s="72">
        <v>3</v>
      </c>
      <c r="L7" s="72">
        <v>0</v>
      </c>
      <c r="M7" s="72">
        <v>0</v>
      </c>
      <c r="N7" s="72">
        <v>1</v>
      </c>
      <c r="O7" s="72">
        <v>0</v>
      </c>
      <c r="P7" s="72">
        <v>1</v>
      </c>
      <c r="Q7" s="72">
        <v>0</v>
      </c>
      <c r="R7" s="72">
        <v>5</v>
      </c>
      <c r="S7" s="73"/>
      <c r="T7" s="84" t="s">
        <v>319</v>
      </c>
      <c r="U7" s="75" t="s">
        <v>199</v>
      </c>
      <c r="V7" s="76" t="s">
        <v>276</v>
      </c>
      <c r="W7" s="76" t="s">
        <v>245</v>
      </c>
      <c r="X7" s="77" t="s">
        <v>320</v>
      </c>
      <c r="Y7" s="76">
        <v>1</v>
      </c>
      <c r="Z7" s="76">
        <v>0</v>
      </c>
      <c r="AA7" s="76">
        <v>0</v>
      </c>
      <c r="AB7" s="78">
        <v>1</v>
      </c>
      <c r="AC7" s="76">
        <v>1</v>
      </c>
      <c r="AD7" s="76">
        <v>0</v>
      </c>
      <c r="AE7" s="76">
        <v>0</v>
      </c>
      <c r="AF7" s="78">
        <v>1</v>
      </c>
      <c r="AG7" s="76"/>
      <c r="AH7" s="76"/>
      <c r="AI7" s="76"/>
      <c r="AJ7" s="78"/>
      <c r="AK7" s="76"/>
      <c r="AL7" s="76"/>
      <c r="AM7" s="76"/>
      <c r="AN7" s="78"/>
      <c r="AP7" s="333" t="s">
        <v>192</v>
      </c>
      <c r="AQ7" s="329">
        <f>G23+497</f>
        <v>928</v>
      </c>
    </row>
    <row r="8" spans="1:43" ht="17" thickBot="1" x14ac:dyDescent="0.25">
      <c r="A8" s="1" t="s">
        <v>54</v>
      </c>
      <c r="B8" s="2" t="s">
        <v>44</v>
      </c>
      <c r="C8" s="3" t="s">
        <v>49</v>
      </c>
      <c r="D8" s="4" t="s">
        <v>21</v>
      </c>
      <c r="E8" s="7" t="s">
        <v>30</v>
      </c>
      <c r="F8" s="4">
        <v>38</v>
      </c>
      <c r="G8" s="5">
        <v>21</v>
      </c>
      <c r="H8" s="6">
        <v>1</v>
      </c>
      <c r="I8" s="4">
        <v>0</v>
      </c>
      <c r="J8" s="7">
        <v>6</v>
      </c>
      <c r="K8" s="7">
        <v>4</v>
      </c>
      <c r="L8" s="7">
        <v>0</v>
      </c>
      <c r="M8" s="7">
        <v>0</v>
      </c>
      <c r="N8" s="7">
        <v>0</v>
      </c>
      <c r="O8" s="7">
        <v>0</v>
      </c>
      <c r="P8" s="4">
        <v>0</v>
      </c>
      <c r="Q8" s="7">
        <v>0</v>
      </c>
      <c r="R8" s="7">
        <v>3</v>
      </c>
      <c r="S8" s="8"/>
      <c r="T8" s="14" t="s">
        <v>333</v>
      </c>
      <c r="U8" s="10" t="s">
        <v>294</v>
      </c>
      <c r="V8" s="11" t="s">
        <v>326</v>
      </c>
      <c r="W8" s="11" t="s">
        <v>205</v>
      </c>
      <c r="X8" s="12" t="s">
        <v>198</v>
      </c>
      <c r="Y8" s="11">
        <v>1</v>
      </c>
      <c r="Z8" s="11">
        <v>1</v>
      </c>
      <c r="AA8" s="11">
        <v>0</v>
      </c>
      <c r="AB8" s="13">
        <v>0</v>
      </c>
      <c r="AC8" s="11"/>
      <c r="AD8" s="11"/>
      <c r="AE8" s="11"/>
      <c r="AF8" s="13"/>
      <c r="AG8" s="11">
        <v>1</v>
      </c>
      <c r="AH8" s="11">
        <v>1</v>
      </c>
      <c r="AI8" s="11">
        <v>0</v>
      </c>
      <c r="AJ8" s="13">
        <v>0</v>
      </c>
      <c r="AK8" s="11"/>
      <c r="AL8" s="11"/>
      <c r="AM8" s="11"/>
      <c r="AN8" s="13"/>
      <c r="AP8" s="333" t="s">
        <v>193</v>
      </c>
      <c r="AQ8" s="329">
        <f>J23+43</f>
        <v>116</v>
      </c>
    </row>
    <row r="9" spans="1:43" ht="17" thickBot="1" x14ac:dyDescent="0.25">
      <c r="A9" s="66" t="s">
        <v>56</v>
      </c>
      <c r="B9" s="67" t="s">
        <v>44</v>
      </c>
      <c r="C9" s="68" t="s">
        <v>83</v>
      </c>
      <c r="D9" s="69" t="s">
        <v>47</v>
      </c>
      <c r="E9" s="72" t="s">
        <v>30</v>
      </c>
      <c r="F9" s="69">
        <v>59</v>
      </c>
      <c r="G9" s="70">
        <v>26</v>
      </c>
      <c r="H9" s="71">
        <v>1</v>
      </c>
      <c r="I9" s="72">
        <v>0</v>
      </c>
      <c r="J9" s="72">
        <v>9</v>
      </c>
      <c r="K9" s="72">
        <v>7</v>
      </c>
      <c r="L9" s="72">
        <v>0</v>
      </c>
      <c r="M9" s="72">
        <v>0</v>
      </c>
      <c r="N9" s="72">
        <v>0</v>
      </c>
      <c r="O9" s="72">
        <v>0</v>
      </c>
      <c r="P9" s="72">
        <v>1</v>
      </c>
      <c r="Q9" s="72">
        <v>0</v>
      </c>
      <c r="R9" s="72">
        <v>4</v>
      </c>
      <c r="S9" s="73"/>
      <c r="T9" s="80" t="s">
        <v>344</v>
      </c>
      <c r="U9" s="75" t="s">
        <v>208</v>
      </c>
      <c r="V9" s="76" t="s">
        <v>206</v>
      </c>
      <c r="W9" s="76" t="s">
        <v>197</v>
      </c>
      <c r="X9" s="77" t="s">
        <v>296</v>
      </c>
      <c r="Y9" s="76">
        <v>1</v>
      </c>
      <c r="Z9" s="76">
        <v>1</v>
      </c>
      <c r="AA9" s="76">
        <v>0</v>
      </c>
      <c r="AB9" s="78">
        <v>0</v>
      </c>
      <c r="AC9" s="76">
        <v>1</v>
      </c>
      <c r="AD9" s="76">
        <v>1</v>
      </c>
      <c r="AE9" s="76">
        <v>0</v>
      </c>
      <c r="AF9" s="78">
        <v>0</v>
      </c>
      <c r="AG9" s="76"/>
      <c r="AH9" s="76"/>
      <c r="AI9" s="76"/>
      <c r="AJ9" s="78"/>
      <c r="AK9" s="76"/>
      <c r="AL9" s="76"/>
      <c r="AM9" s="76"/>
      <c r="AN9" s="78"/>
      <c r="AP9" s="333" t="s">
        <v>194</v>
      </c>
      <c r="AQ9" s="329">
        <f>R23+70</f>
        <v>127</v>
      </c>
    </row>
    <row r="10" spans="1:43" ht="17" thickBot="1" x14ac:dyDescent="0.25">
      <c r="A10" s="66" t="s">
        <v>84</v>
      </c>
      <c r="B10" s="67" t="s">
        <v>44</v>
      </c>
      <c r="C10" s="68" t="s">
        <v>63</v>
      </c>
      <c r="D10" s="69" t="s">
        <v>47</v>
      </c>
      <c r="E10" s="69" t="s">
        <v>30</v>
      </c>
      <c r="F10" s="69">
        <v>54</v>
      </c>
      <c r="G10" s="70">
        <v>31</v>
      </c>
      <c r="H10" s="71">
        <v>1</v>
      </c>
      <c r="I10" s="72">
        <v>0</v>
      </c>
      <c r="J10" s="72">
        <v>8</v>
      </c>
      <c r="K10" s="72">
        <v>5</v>
      </c>
      <c r="L10" s="72">
        <v>0</v>
      </c>
      <c r="M10" s="72">
        <v>0</v>
      </c>
      <c r="N10" s="69">
        <v>1</v>
      </c>
      <c r="O10" s="72">
        <v>0</v>
      </c>
      <c r="P10" s="72">
        <v>1</v>
      </c>
      <c r="Q10" s="69">
        <v>0</v>
      </c>
      <c r="R10" s="72">
        <v>5</v>
      </c>
      <c r="S10" s="73"/>
      <c r="T10" s="80" t="s">
        <v>319</v>
      </c>
      <c r="U10" s="75" t="s">
        <v>212</v>
      </c>
      <c r="V10" s="76" t="s">
        <v>337</v>
      </c>
      <c r="W10" s="76" t="s">
        <v>254</v>
      </c>
      <c r="X10" s="77" t="s">
        <v>346</v>
      </c>
      <c r="Y10" s="76">
        <v>1</v>
      </c>
      <c r="Z10" s="76">
        <v>1</v>
      </c>
      <c r="AA10" s="76">
        <v>0</v>
      </c>
      <c r="AB10" s="78">
        <v>0</v>
      </c>
      <c r="AC10" s="76">
        <v>1</v>
      </c>
      <c r="AD10" s="76">
        <v>1</v>
      </c>
      <c r="AE10" s="76">
        <v>0</v>
      </c>
      <c r="AF10" s="78">
        <v>0</v>
      </c>
      <c r="AG10" s="76"/>
      <c r="AH10" s="76"/>
      <c r="AI10" s="76"/>
      <c r="AJ10" s="78"/>
      <c r="AK10" s="76"/>
      <c r="AL10" s="76"/>
      <c r="AM10" s="76"/>
      <c r="AN10" s="78"/>
    </row>
    <row r="11" spans="1:43" ht="17" thickBot="1" x14ac:dyDescent="0.25">
      <c r="A11" s="1" t="s">
        <v>85</v>
      </c>
      <c r="B11" s="2" t="s">
        <v>44</v>
      </c>
      <c r="C11" s="3" t="s">
        <v>46</v>
      </c>
      <c r="D11" s="4" t="s">
        <v>21</v>
      </c>
      <c r="E11" s="4" t="s">
        <v>30</v>
      </c>
      <c r="F11" s="4">
        <v>26</v>
      </c>
      <c r="G11" s="5">
        <v>20</v>
      </c>
      <c r="H11" s="6">
        <v>0</v>
      </c>
      <c r="I11" s="7">
        <v>0</v>
      </c>
      <c r="J11" s="7">
        <v>3</v>
      </c>
      <c r="K11" s="7">
        <v>1</v>
      </c>
      <c r="L11" s="7">
        <v>0</v>
      </c>
      <c r="M11" s="7">
        <v>3</v>
      </c>
      <c r="N11" s="7">
        <v>0</v>
      </c>
      <c r="O11" s="7">
        <v>0</v>
      </c>
      <c r="P11" s="7">
        <v>0</v>
      </c>
      <c r="Q11" s="4">
        <v>1</v>
      </c>
      <c r="R11" s="7">
        <v>3</v>
      </c>
      <c r="S11" s="8"/>
      <c r="T11" s="15" t="s">
        <v>381</v>
      </c>
      <c r="U11" s="10" t="s">
        <v>205</v>
      </c>
      <c r="V11" s="11" t="s">
        <v>207</v>
      </c>
      <c r="W11" s="11" t="s">
        <v>254</v>
      </c>
      <c r="X11" s="12" t="s">
        <v>276</v>
      </c>
      <c r="Y11" s="11">
        <v>1</v>
      </c>
      <c r="Z11" s="11">
        <v>1</v>
      </c>
      <c r="AA11" s="11">
        <v>0</v>
      </c>
      <c r="AB11" s="13">
        <v>0</v>
      </c>
      <c r="AC11" s="11"/>
      <c r="AD11" s="11"/>
      <c r="AE11" s="11"/>
      <c r="AF11" s="13"/>
      <c r="AG11" s="11">
        <v>1</v>
      </c>
      <c r="AH11" s="11">
        <v>1</v>
      </c>
      <c r="AI11" s="11">
        <v>0</v>
      </c>
      <c r="AJ11" s="13">
        <v>0</v>
      </c>
      <c r="AK11" s="11"/>
      <c r="AL11" s="11"/>
      <c r="AM11" s="11"/>
      <c r="AN11" s="13"/>
    </row>
    <row r="12" spans="1:43" ht="17" thickBot="1" x14ac:dyDescent="0.25">
      <c r="A12" s="81" t="s">
        <v>36</v>
      </c>
      <c r="B12" s="67" t="s">
        <v>44</v>
      </c>
      <c r="C12" s="68" t="s">
        <v>53</v>
      </c>
      <c r="D12" s="69" t="s">
        <v>47</v>
      </c>
      <c r="E12" s="69" t="s">
        <v>31</v>
      </c>
      <c r="F12" s="69">
        <v>21</v>
      </c>
      <c r="G12" s="70">
        <v>22</v>
      </c>
      <c r="H12" s="71">
        <v>0</v>
      </c>
      <c r="I12" s="72">
        <v>1</v>
      </c>
      <c r="J12" s="72">
        <v>3</v>
      </c>
      <c r="K12" s="72">
        <v>3</v>
      </c>
      <c r="L12" s="72">
        <v>0</v>
      </c>
      <c r="M12" s="72">
        <v>0</v>
      </c>
      <c r="N12" s="69">
        <v>3</v>
      </c>
      <c r="O12" s="72">
        <v>0</v>
      </c>
      <c r="P12" s="72">
        <v>0</v>
      </c>
      <c r="Q12" s="72">
        <v>0</v>
      </c>
      <c r="R12" s="72">
        <v>1</v>
      </c>
      <c r="S12" s="82"/>
      <c r="T12" s="84" t="s">
        <v>397</v>
      </c>
      <c r="U12" s="75" t="s">
        <v>389</v>
      </c>
      <c r="V12" s="76" t="s">
        <v>204</v>
      </c>
      <c r="W12" s="76" t="s">
        <v>249</v>
      </c>
      <c r="X12" s="77" t="s">
        <v>198</v>
      </c>
      <c r="Y12" s="76">
        <v>1</v>
      </c>
      <c r="Z12" s="76">
        <v>0</v>
      </c>
      <c r="AA12" s="76">
        <v>0</v>
      </c>
      <c r="AB12" s="78">
        <v>1</v>
      </c>
      <c r="AC12" s="76">
        <v>1</v>
      </c>
      <c r="AD12" s="76">
        <v>0</v>
      </c>
      <c r="AE12" s="76">
        <v>0</v>
      </c>
      <c r="AF12" s="78">
        <v>1</v>
      </c>
      <c r="AG12" s="76"/>
      <c r="AH12" s="76"/>
      <c r="AI12" s="76"/>
      <c r="AJ12" s="78"/>
      <c r="AK12" s="76"/>
      <c r="AL12" s="76"/>
      <c r="AM12" s="76"/>
      <c r="AN12" s="78"/>
    </row>
    <row r="13" spans="1:43" ht="17" thickBot="1" x14ac:dyDescent="0.25">
      <c r="A13" s="16" t="s">
        <v>62</v>
      </c>
      <c r="B13" s="2" t="s">
        <v>44</v>
      </c>
      <c r="C13" s="3" t="s">
        <v>61</v>
      </c>
      <c r="D13" s="4" t="s">
        <v>21</v>
      </c>
      <c r="E13" s="4" t="s">
        <v>31</v>
      </c>
      <c r="F13" s="4">
        <v>22</v>
      </c>
      <c r="G13" s="5">
        <v>23</v>
      </c>
      <c r="H13" s="6">
        <v>1</v>
      </c>
      <c r="I13" s="7">
        <v>1</v>
      </c>
      <c r="J13" s="7">
        <v>4</v>
      </c>
      <c r="K13" s="7">
        <v>1</v>
      </c>
      <c r="L13" s="7">
        <v>0</v>
      </c>
      <c r="M13" s="7">
        <v>0</v>
      </c>
      <c r="N13" s="7">
        <v>1</v>
      </c>
      <c r="O13" s="7">
        <v>0</v>
      </c>
      <c r="P13" s="7">
        <v>0</v>
      </c>
      <c r="Q13" s="7">
        <v>0</v>
      </c>
      <c r="R13" s="7">
        <v>3</v>
      </c>
      <c r="S13" s="17"/>
      <c r="T13" s="9" t="s">
        <v>403</v>
      </c>
      <c r="U13" s="10" t="s">
        <v>205</v>
      </c>
      <c r="V13" s="11" t="s">
        <v>199</v>
      </c>
      <c r="W13" s="11" t="s">
        <v>198</v>
      </c>
      <c r="X13" s="12" t="s">
        <v>275</v>
      </c>
      <c r="Y13" s="11">
        <v>1</v>
      </c>
      <c r="Z13" s="11">
        <v>0</v>
      </c>
      <c r="AA13" s="11">
        <v>0</v>
      </c>
      <c r="AB13" s="13">
        <v>1</v>
      </c>
      <c r="AC13" s="11"/>
      <c r="AD13" s="11"/>
      <c r="AE13" s="11"/>
      <c r="AF13" s="13"/>
      <c r="AG13" s="11">
        <v>1</v>
      </c>
      <c r="AH13" s="11">
        <v>0</v>
      </c>
      <c r="AI13" s="11">
        <v>0</v>
      </c>
      <c r="AJ13" s="13">
        <v>1</v>
      </c>
      <c r="AK13" s="11"/>
      <c r="AL13" s="11"/>
      <c r="AM13" s="11"/>
      <c r="AN13" s="13"/>
    </row>
    <row r="14" spans="1:43" ht="17" thickBot="1" x14ac:dyDescent="0.25">
      <c r="A14" s="81" t="s">
        <v>86</v>
      </c>
      <c r="B14" s="67" t="s">
        <v>44</v>
      </c>
      <c r="C14" s="68" t="s">
        <v>49</v>
      </c>
      <c r="D14" s="69" t="s">
        <v>47</v>
      </c>
      <c r="E14" s="69" t="s">
        <v>31</v>
      </c>
      <c r="F14" s="69">
        <v>13</v>
      </c>
      <c r="G14" s="70">
        <v>25</v>
      </c>
      <c r="H14" s="71">
        <v>0</v>
      </c>
      <c r="I14" s="72">
        <v>0</v>
      </c>
      <c r="J14" s="72">
        <v>2</v>
      </c>
      <c r="K14" s="72">
        <v>0</v>
      </c>
      <c r="L14" s="72">
        <v>0</v>
      </c>
      <c r="M14" s="72">
        <v>1</v>
      </c>
      <c r="N14" s="72">
        <v>1</v>
      </c>
      <c r="O14" s="72">
        <v>0</v>
      </c>
      <c r="P14" s="72">
        <v>0</v>
      </c>
      <c r="Q14" s="72">
        <v>0</v>
      </c>
      <c r="R14" s="72">
        <v>3</v>
      </c>
      <c r="S14" s="82"/>
      <c r="T14" s="83" t="s">
        <v>417</v>
      </c>
      <c r="U14" s="75" t="s">
        <v>197</v>
      </c>
      <c r="V14" s="76" t="s">
        <v>337</v>
      </c>
      <c r="W14" s="76" t="s">
        <v>214</v>
      </c>
      <c r="X14" s="77" t="s">
        <v>296</v>
      </c>
      <c r="Y14" s="76">
        <v>1</v>
      </c>
      <c r="Z14" s="76">
        <v>0</v>
      </c>
      <c r="AA14" s="76">
        <v>0</v>
      </c>
      <c r="AB14" s="78">
        <v>1</v>
      </c>
      <c r="AC14" s="76">
        <v>1</v>
      </c>
      <c r="AD14" s="76">
        <v>0</v>
      </c>
      <c r="AE14" s="76">
        <v>0</v>
      </c>
      <c r="AF14" s="78">
        <v>1</v>
      </c>
      <c r="AG14" s="76"/>
      <c r="AH14" s="76"/>
      <c r="AI14" s="76"/>
      <c r="AJ14" s="78"/>
      <c r="AK14" s="76"/>
      <c r="AL14" s="76"/>
      <c r="AM14" s="76"/>
      <c r="AN14" s="78"/>
    </row>
    <row r="15" spans="1:43" ht="17" thickBot="1" x14ac:dyDescent="0.25">
      <c r="A15" s="16" t="s">
        <v>87</v>
      </c>
      <c r="B15" s="2" t="s">
        <v>44</v>
      </c>
      <c r="C15" s="3" t="s">
        <v>51</v>
      </c>
      <c r="D15" s="4" t="s">
        <v>21</v>
      </c>
      <c r="E15" s="4" t="s">
        <v>31</v>
      </c>
      <c r="F15" s="4">
        <v>20</v>
      </c>
      <c r="G15" s="5">
        <v>22</v>
      </c>
      <c r="H15" s="6">
        <v>0</v>
      </c>
      <c r="I15" s="7">
        <v>1</v>
      </c>
      <c r="J15" s="7">
        <v>3</v>
      </c>
      <c r="K15" s="7">
        <v>1</v>
      </c>
      <c r="L15" s="7">
        <v>0</v>
      </c>
      <c r="M15" s="7">
        <v>1</v>
      </c>
      <c r="N15" s="7">
        <v>0</v>
      </c>
      <c r="O15" s="7">
        <v>0</v>
      </c>
      <c r="P15" s="7">
        <v>0</v>
      </c>
      <c r="Q15" s="7">
        <v>0</v>
      </c>
      <c r="R15" s="7">
        <v>3</v>
      </c>
      <c r="S15" s="17"/>
      <c r="T15" s="19" t="s">
        <v>438</v>
      </c>
      <c r="U15" s="10" t="s">
        <v>205</v>
      </c>
      <c r="V15" s="11" t="s">
        <v>297</v>
      </c>
      <c r="W15" s="11" t="s">
        <v>212</v>
      </c>
      <c r="X15" s="12" t="s">
        <v>275</v>
      </c>
      <c r="Y15" s="11">
        <v>1</v>
      </c>
      <c r="Z15" s="11">
        <v>0</v>
      </c>
      <c r="AA15" s="11">
        <v>0</v>
      </c>
      <c r="AB15" s="13">
        <v>1</v>
      </c>
      <c r="AC15" s="11"/>
      <c r="AD15" s="11"/>
      <c r="AE15" s="11"/>
      <c r="AF15" s="13"/>
      <c r="AG15" s="11">
        <v>1</v>
      </c>
      <c r="AH15" s="11">
        <v>0</v>
      </c>
      <c r="AI15" s="11">
        <v>0</v>
      </c>
      <c r="AJ15" s="13">
        <v>1</v>
      </c>
      <c r="AK15" s="11"/>
      <c r="AL15" s="11"/>
      <c r="AM15" s="11"/>
      <c r="AN15" s="13"/>
    </row>
    <row r="16" spans="1:43" ht="17" thickBot="1" x14ac:dyDescent="0.25">
      <c r="A16" s="81" t="s">
        <v>88</v>
      </c>
      <c r="B16" s="67" t="s">
        <v>44</v>
      </c>
      <c r="C16" s="68" t="s">
        <v>66</v>
      </c>
      <c r="D16" s="69" t="s">
        <v>47</v>
      </c>
      <c r="E16" s="69" t="s">
        <v>30</v>
      </c>
      <c r="F16" s="69">
        <v>22</v>
      </c>
      <c r="G16" s="70">
        <v>16</v>
      </c>
      <c r="H16" s="71">
        <v>0</v>
      </c>
      <c r="I16" s="72">
        <v>0</v>
      </c>
      <c r="J16" s="72">
        <v>2</v>
      </c>
      <c r="K16" s="72">
        <v>0</v>
      </c>
      <c r="L16" s="72">
        <v>0</v>
      </c>
      <c r="M16" s="72">
        <v>4</v>
      </c>
      <c r="N16" s="72">
        <v>0</v>
      </c>
      <c r="O16" s="72">
        <v>0</v>
      </c>
      <c r="P16" s="72">
        <v>0</v>
      </c>
      <c r="Q16" s="72">
        <v>1</v>
      </c>
      <c r="R16" s="72">
        <v>2</v>
      </c>
      <c r="S16" s="82"/>
      <c r="T16" s="172" t="s">
        <v>437</v>
      </c>
      <c r="U16" s="75" t="s">
        <v>430</v>
      </c>
      <c r="V16" s="76" t="s">
        <v>326</v>
      </c>
      <c r="W16" s="76" t="s">
        <v>283</v>
      </c>
      <c r="X16" s="76" t="s">
        <v>320</v>
      </c>
      <c r="Y16" s="76">
        <v>1</v>
      </c>
      <c r="Z16" s="76">
        <v>1</v>
      </c>
      <c r="AA16" s="76">
        <v>0</v>
      </c>
      <c r="AB16" s="78">
        <v>0</v>
      </c>
      <c r="AC16" s="76">
        <v>1</v>
      </c>
      <c r="AD16" s="76">
        <v>1</v>
      </c>
      <c r="AE16" s="76">
        <v>0</v>
      </c>
      <c r="AF16" s="78">
        <v>0</v>
      </c>
      <c r="AG16" s="76"/>
      <c r="AH16" s="76"/>
      <c r="AI16" s="76"/>
      <c r="AJ16" s="78"/>
      <c r="AK16" s="76"/>
      <c r="AL16" s="76"/>
      <c r="AM16" s="76"/>
      <c r="AN16" s="78"/>
    </row>
    <row r="17" spans="1:40" ht="17" thickBot="1" x14ac:dyDescent="0.25">
      <c r="A17" s="16" t="s">
        <v>68</v>
      </c>
      <c r="B17" s="2" t="s">
        <v>44</v>
      </c>
      <c r="C17" s="3" t="s">
        <v>83</v>
      </c>
      <c r="D17" s="4" t="s">
        <v>21</v>
      </c>
      <c r="E17" s="4" t="s">
        <v>30</v>
      </c>
      <c r="F17" s="4">
        <v>38</v>
      </c>
      <c r="G17" s="5">
        <v>29</v>
      </c>
      <c r="H17" s="6">
        <v>1</v>
      </c>
      <c r="I17" s="7">
        <v>0</v>
      </c>
      <c r="J17" s="7">
        <v>6</v>
      </c>
      <c r="K17" s="7">
        <v>4</v>
      </c>
      <c r="L17" s="7">
        <v>0</v>
      </c>
      <c r="M17" s="7">
        <v>0</v>
      </c>
      <c r="N17" s="4">
        <v>0</v>
      </c>
      <c r="O17" s="7">
        <v>0</v>
      </c>
      <c r="P17" s="7">
        <v>1</v>
      </c>
      <c r="Q17" s="7">
        <v>0</v>
      </c>
      <c r="R17" s="7">
        <v>4</v>
      </c>
      <c r="S17" s="8"/>
      <c r="T17" s="384" t="s">
        <v>457</v>
      </c>
      <c r="U17" s="11" t="s">
        <v>245</v>
      </c>
      <c r="V17" s="11" t="s">
        <v>199</v>
      </c>
      <c r="W17" s="11" t="s">
        <v>197</v>
      </c>
      <c r="X17" s="11" t="s">
        <v>241</v>
      </c>
      <c r="Y17" s="11">
        <v>1</v>
      </c>
      <c r="Z17" s="11">
        <v>1</v>
      </c>
      <c r="AA17" s="11">
        <v>0</v>
      </c>
      <c r="AB17" s="13">
        <v>0</v>
      </c>
      <c r="AC17" s="11"/>
      <c r="AD17" s="11"/>
      <c r="AE17" s="11"/>
      <c r="AF17" s="13"/>
      <c r="AG17" s="11">
        <v>1</v>
      </c>
      <c r="AH17" s="11">
        <v>1</v>
      </c>
      <c r="AI17" s="11">
        <v>0</v>
      </c>
      <c r="AJ17" s="13">
        <v>0</v>
      </c>
      <c r="AK17" s="11"/>
      <c r="AL17" s="11"/>
      <c r="AM17" s="11"/>
      <c r="AN17" s="13"/>
    </row>
    <row r="18" spans="1:40" ht="17" thickBot="1" x14ac:dyDescent="0.25">
      <c r="A18" s="81" t="s">
        <v>89</v>
      </c>
      <c r="B18" s="67" t="s">
        <v>44</v>
      </c>
      <c r="C18" s="161" t="s">
        <v>52</v>
      </c>
      <c r="D18" s="162" t="s">
        <v>47</v>
      </c>
      <c r="E18" s="162" t="s">
        <v>30</v>
      </c>
      <c r="F18" s="163">
        <v>38</v>
      </c>
      <c r="G18" s="164">
        <v>26</v>
      </c>
      <c r="H18" s="165">
        <v>1</v>
      </c>
      <c r="I18" s="166">
        <v>0</v>
      </c>
      <c r="J18" s="166">
        <v>6</v>
      </c>
      <c r="K18" s="166">
        <v>4</v>
      </c>
      <c r="L18" s="166">
        <v>0</v>
      </c>
      <c r="M18" s="166">
        <v>0</v>
      </c>
      <c r="N18" s="166">
        <v>2</v>
      </c>
      <c r="O18" s="166">
        <v>0</v>
      </c>
      <c r="P18" s="166">
        <v>1</v>
      </c>
      <c r="Q18" s="166">
        <v>0</v>
      </c>
      <c r="R18" s="166">
        <v>4</v>
      </c>
      <c r="S18" s="167"/>
      <c r="T18" s="80" t="s">
        <v>470</v>
      </c>
      <c r="U18" s="169" t="s">
        <v>214</v>
      </c>
      <c r="V18" s="169" t="s">
        <v>337</v>
      </c>
      <c r="W18" s="169" t="s">
        <v>208</v>
      </c>
      <c r="X18" s="170" t="s">
        <v>296</v>
      </c>
      <c r="Y18" s="169">
        <v>1</v>
      </c>
      <c r="Z18" s="169">
        <v>1</v>
      </c>
      <c r="AA18" s="169">
        <v>0</v>
      </c>
      <c r="AB18" s="171">
        <v>0</v>
      </c>
      <c r="AC18" s="169">
        <v>1</v>
      </c>
      <c r="AD18" s="169">
        <v>1</v>
      </c>
      <c r="AE18" s="169">
        <v>0</v>
      </c>
      <c r="AF18" s="171">
        <v>0</v>
      </c>
      <c r="AG18" s="169"/>
      <c r="AH18" s="169"/>
      <c r="AI18" s="169"/>
      <c r="AJ18" s="171"/>
      <c r="AK18" s="169"/>
      <c r="AL18" s="169"/>
      <c r="AM18" s="169"/>
      <c r="AN18" s="171"/>
    </row>
    <row r="19" spans="1:40" ht="17" thickBot="1" x14ac:dyDescent="0.25">
      <c r="A19" s="402" t="s">
        <v>477</v>
      </c>
      <c r="B19" s="402" t="s">
        <v>479</v>
      </c>
      <c r="C19" s="403" t="s">
        <v>49</v>
      </c>
      <c r="D19" s="31" t="s">
        <v>21</v>
      </c>
      <c r="E19" s="4" t="s">
        <v>30</v>
      </c>
      <c r="F19" s="4">
        <v>45</v>
      </c>
      <c r="G19" s="5">
        <v>21</v>
      </c>
      <c r="H19" s="6" t="s">
        <v>483</v>
      </c>
      <c r="I19" s="7" t="s">
        <v>483</v>
      </c>
      <c r="J19" s="7">
        <v>6</v>
      </c>
      <c r="K19" s="7">
        <v>3</v>
      </c>
      <c r="L19" s="7">
        <v>0</v>
      </c>
      <c r="M19" s="7">
        <v>3</v>
      </c>
      <c r="N19" s="7">
        <v>0</v>
      </c>
      <c r="O19" s="7">
        <v>0</v>
      </c>
      <c r="P19" s="7" t="s">
        <v>483</v>
      </c>
      <c r="Q19" s="7" t="s">
        <v>483</v>
      </c>
      <c r="R19" s="7">
        <v>3</v>
      </c>
      <c r="S19" s="17"/>
      <c r="T19" s="408" t="s">
        <v>489</v>
      </c>
      <c r="U19" s="11" t="s">
        <v>214</v>
      </c>
      <c r="V19" s="11" t="s">
        <v>337</v>
      </c>
      <c r="W19" s="11" t="s">
        <v>212</v>
      </c>
      <c r="X19" s="405" t="s">
        <v>207</v>
      </c>
      <c r="Y19" s="11">
        <v>1</v>
      </c>
      <c r="Z19" s="11">
        <v>1</v>
      </c>
      <c r="AA19" s="11">
        <v>0</v>
      </c>
      <c r="AB19" s="13">
        <v>0</v>
      </c>
      <c r="AC19" s="11"/>
      <c r="AD19" s="11"/>
      <c r="AE19" s="11"/>
      <c r="AF19" s="13"/>
      <c r="AG19" s="11">
        <v>1</v>
      </c>
      <c r="AH19" s="11">
        <v>1</v>
      </c>
      <c r="AI19" s="11">
        <v>0</v>
      </c>
      <c r="AJ19" s="13">
        <v>0</v>
      </c>
      <c r="AK19" s="11"/>
      <c r="AL19" s="11"/>
      <c r="AM19" s="11"/>
      <c r="AN19" s="13"/>
    </row>
    <row r="20" spans="1:40" ht="17" thickBot="1" x14ac:dyDescent="0.25">
      <c r="A20" s="402" t="s">
        <v>490</v>
      </c>
      <c r="B20" s="402" t="s">
        <v>480</v>
      </c>
      <c r="C20" s="403" t="s">
        <v>46</v>
      </c>
      <c r="D20" s="31" t="s">
        <v>21</v>
      </c>
      <c r="E20" s="4" t="s">
        <v>31</v>
      </c>
      <c r="F20" s="4">
        <v>17</v>
      </c>
      <c r="G20" s="5">
        <v>23</v>
      </c>
      <c r="H20" s="6" t="s">
        <v>483</v>
      </c>
      <c r="I20" s="7" t="s">
        <v>483</v>
      </c>
      <c r="J20" s="7">
        <v>2</v>
      </c>
      <c r="K20" s="7">
        <v>2</v>
      </c>
      <c r="L20" s="7">
        <v>0</v>
      </c>
      <c r="M20" s="7">
        <v>1</v>
      </c>
      <c r="N20" s="7">
        <v>0</v>
      </c>
      <c r="O20" s="7">
        <v>0</v>
      </c>
      <c r="P20" s="7" t="s">
        <v>483</v>
      </c>
      <c r="Q20" s="7" t="s">
        <v>483</v>
      </c>
      <c r="R20" s="7">
        <v>3</v>
      </c>
      <c r="S20" s="17"/>
      <c r="T20" s="404" t="s">
        <v>427</v>
      </c>
      <c r="U20" s="11" t="s">
        <v>205</v>
      </c>
      <c r="V20" s="11" t="s">
        <v>199</v>
      </c>
      <c r="W20" s="11" t="s">
        <v>197</v>
      </c>
      <c r="X20" s="405" t="s">
        <v>241</v>
      </c>
      <c r="Y20" s="11">
        <v>1</v>
      </c>
      <c r="Z20" s="11">
        <v>0</v>
      </c>
      <c r="AA20" s="11">
        <v>0</v>
      </c>
      <c r="AB20" s="13">
        <v>1</v>
      </c>
      <c r="AC20" s="11"/>
      <c r="AD20" s="11"/>
      <c r="AE20" s="11"/>
      <c r="AF20" s="13"/>
      <c r="AG20" s="11">
        <v>1</v>
      </c>
      <c r="AH20" s="11">
        <v>0</v>
      </c>
      <c r="AI20" s="11">
        <v>0</v>
      </c>
      <c r="AJ20" s="13">
        <v>1</v>
      </c>
      <c r="AK20" s="11"/>
      <c r="AL20" s="11"/>
      <c r="AM20" s="11"/>
      <c r="AN20" s="13"/>
    </row>
    <row r="21" spans="1:40" ht="17" thickBot="1" x14ac:dyDescent="0.25">
      <c r="A21" s="33"/>
      <c r="B21" s="34"/>
      <c r="C21" s="425" t="s">
        <v>40</v>
      </c>
      <c r="D21" s="426"/>
      <c r="E21" s="427"/>
      <c r="F21" s="38">
        <f t="shared" ref="F21:R21" si="0">SUM(F3+F4+F5+F6+F7+F8+F9+F10+F11+F12+F13+F14+F15+F16+F17+F18)</f>
        <v>454</v>
      </c>
      <c r="G21" s="38">
        <f t="shared" si="0"/>
        <v>387</v>
      </c>
      <c r="H21" s="38">
        <f t="shared" si="0"/>
        <v>7</v>
      </c>
      <c r="I21" s="38">
        <f t="shared" si="0"/>
        <v>4</v>
      </c>
      <c r="J21" s="38">
        <f t="shared" si="0"/>
        <v>65</v>
      </c>
      <c r="K21" s="38">
        <f t="shared" si="0"/>
        <v>36</v>
      </c>
      <c r="L21" s="38">
        <f t="shared" si="0"/>
        <v>0</v>
      </c>
      <c r="M21" s="38">
        <f t="shared" si="0"/>
        <v>15</v>
      </c>
      <c r="N21" s="38">
        <f t="shared" si="0"/>
        <v>10</v>
      </c>
      <c r="O21" s="38">
        <f t="shared" si="0"/>
        <v>0</v>
      </c>
      <c r="P21" s="38">
        <f t="shared" si="0"/>
        <v>6</v>
      </c>
      <c r="Q21" s="38">
        <f t="shared" si="0"/>
        <v>3</v>
      </c>
      <c r="R21" s="38">
        <f t="shared" si="0"/>
        <v>51</v>
      </c>
      <c r="S21" s="39"/>
      <c r="T21" s="39"/>
      <c r="U21" s="39"/>
      <c r="V21" s="39"/>
      <c r="W21" s="40"/>
      <c r="X21" s="41" t="s">
        <v>40</v>
      </c>
      <c r="Y21" s="38">
        <f t="shared" ref="Y21:AN21" si="1">Y3+Y4+Y5+Y6+Y7+Y8+Y9+Y10+Y11+Y12+Y13+Y14+Y15+Y16+Y17+Y18</f>
        <v>16</v>
      </c>
      <c r="Z21" s="38">
        <f t="shared" si="1"/>
        <v>8</v>
      </c>
      <c r="AA21" s="38">
        <f t="shared" si="1"/>
        <v>1</v>
      </c>
      <c r="AB21" s="38">
        <f t="shared" si="1"/>
        <v>7</v>
      </c>
      <c r="AC21" s="32">
        <f t="shared" si="1"/>
        <v>8</v>
      </c>
      <c r="AD21" s="32">
        <f t="shared" si="1"/>
        <v>4</v>
      </c>
      <c r="AE21" s="32">
        <f t="shared" si="1"/>
        <v>0</v>
      </c>
      <c r="AF21" s="32">
        <f t="shared" si="1"/>
        <v>4</v>
      </c>
      <c r="AG21" s="31">
        <f t="shared" si="1"/>
        <v>8</v>
      </c>
      <c r="AH21" s="31">
        <f t="shared" si="1"/>
        <v>4</v>
      </c>
      <c r="AI21" s="31">
        <f t="shared" si="1"/>
        <v>1</v>
      </c>
      <c r="AJ21" s="31">
        <f t="shared" si="1"/>
        <v>3</v>
      </c>
      <c r="AK21" s="38">
        <f t="shared" si="1"/>
        <v>0</v>
      </c>
      <c r="AL21" s="38">
        <f t="shared" si="1"/>
        <v>0</v>
      </c>
      <c r="AM21" s="38">
        <f t="shared" si="1"/>
        <v>0</v>
      </c>
      <c r="AN21" s="38">
        <f t="shared" si="1"/>
        <v>0</v>
      </c>
    </row>
    <row r="22" spans="1:40" ht="17" thickBot="1" x14ac:dyDescent="0.25">
      <c r="A22" s="33"/>
      <c r="B22" s="34"/>
      <c r="C22" s="35" t="s">
        <v>41</v>
      </c>
      <c r="D22" s="36"/>
      <c r="E22" s="37"/>
      <c r="F22" s="42">
        <f>F19+F20</f>
        <v>62</v>
      </c>
      <c r="G22" s="42">
        <f>G19+G20</f>
        <v>44</v>
      </c>
      <c r="H22" s="42" t="s">
        <v>483</v>
      </c>
      <c r="I22" s="42" t="s">
        <v>483</v>
      </c>
      <c r="J22" s="42">
        <f>J19+J20</f>
        <v>8</v>
      </c>
      <c r="K22" s="42">
        <f t="shared" ref="K22:O22" si="2">K19+K20</f>
        <v>5</v>
      </c>
      <c r="L22" s="42">
        <f t="shared" si="2"/>
        <v>0</v>
      </c>
      <c r="M22" s="42">
        <f t="shared" si="2"/>
        <v>4</v>
      </c>
      <c r="N22" s="42">
        <f t="shared" si="2"/>
        <v>0</v>
      </c>
      <c r="O22" s="42">
        <f t="shared" si="2"/>
        <v>0</v>
      </c>
      <c r="P22" s="42" t="s">
        <v>483</v>
      </c>
      <c r="Q22" s="42" t="s">
        <v>483</v>
      </c>
      <c r="R22" s="42">
        <f>R19+R20</f>
        <v>6</v>
      </c>
      <c r="S22" s="39"/>
      <c r="T22" s="39"/>
      <c r="U22" s="39"/>
      <c r="V22" s="39"/>
      <c r="W22" s="40"/>
      <c r="X22" s="41" t="s">
        <v>41</v>
      </c>
      <c r="Y22" s="38">
        <f>Y19+Y20</f>
        <v>2</v>
      </c>
      <c r="Z22" s="38">
        <f t="shared" ref="Z22:AB22" si="3">Z19+Z20</f>
        <v>1</v>
      </c>
      <c r="AA22" s="38">
        <f t="shared" si="3"/>
        <v>0</v>
      </c>
      <c r="AB22" s="38">
        <f t="shared" si="3"/>
        <v>1</v>
      </c>
      <c r="AC22" s="43">
        <f>AC19+AC20</f>
        <v>0</v>
      </c>
      <c r="AD22" s="43">
        <f t="shared" ref="AD22:AF22" si="4">AD19+AD20</f>
        <v>0</v>
      </c>
      <c r="AE22" s="43">
        <f t="shared" si="4"/>
        <v>0</v>
      </c>
      <c r="AF22" s="43">
        <f t="shared" si="4"/>
        <v>0</v>
      </c>
      <c r="AG22" s="44">
        <f>AG19+AG20</f>
        <v>2</v>
      </c>
      <c r="AH22" s="44">
        <f t="shared" ref="AH22:AJ22" si="5">AH19+AH20</f>
        <v>1</v>
      </c>
      <c r="AI22" s="44">
        <f t="shared" si="5"/>
        <v>0</v>
      </c>
      <c r="AJ22" s="44">
        <f t="shared" si="5"/>
        <v>1</v>
      </c>
      <c r="AK22" s="42">
        <f>AK19+AK20</f>
        <v>0</v>
      </c>
      <c r="AL22" s="42">
        <f t="shared" ref="AL22:AN22" si="6">AL19+AL20</f>
        <v>0</v>
      </c>
      <c r="AM22" s="42">
        <f t="shared" si="6"/>
        <v>0</v>
      </c>
      <c r="AN22" s="42">
        <f t="shared" si="6"/>
        <v>0</v>
      </c>
    </row>
    <row r="23" spans="1:40" ht="17" thickBot="1" x14ac:dyDescent="0.25">
      <c r="A23" s="33"/>
      <c r="B23" s="34"/>
      <c r="C23" s="425" t="s">
        <v>42</v>
      </c>
      <c r="D23" s="431"/>
      <c r="E23" s="432"/>
      <c r="F23" s="42">
        <f>SUM(F21+F22)</f>
        <v>516</v>
      </c>
      <c r="G23" s="42">
        <f t="shared" ref="G23:R23" si="7">SUM(G21+G22)</f>
        <v>431</v>
      </c>
      <c r="H23" s="42">
        <f>H21</f>
        <v>7</v>
      </c>
      <c r="I23" s="42">
        <f>I21</f>
        <v>4</v>
      </c>
      <c r="J23" s="42">
        <f t="shared" si="7"/>
        <v>73</v>
      </c>
      <c r="K23" s="42">
        <f t="shared" si="7"/>
        <v>41</v>
      </c>
      <c r="L23" s="42">
        <f t="shared" si="7"/>
        <v>0</v>
      </c>
      <c r="M23" s="42">
        <f t="shared" si="7"/>
        <v>19</v>
      </c>
      <c r="N23" s="42">
        <f t="shared" si="7"/>
        <v>10</v>
      </c>
      <c r="O23" s="42">
        <f t="shared" si="7"/>
        <v>0</v>
      </c>
      <c r="P23" s="42">
        <f>P21</f>
        <v>6</v>
      </c>
      <c r="Q23" s="42">
        <f>Q21</f>
        <v>3</v>
      </c>
      <c r="R23" s="42">
        <f t="shared" si="7"/>
        <v>57</v>
      </c>
      <c r="S23" s="39"/>
      <c r="T23" s="39"/>
      <c r="U23" s="39"/>
      <c r="V23" s="39"/>
      <c r="W23" s="40"/>
      <c r="X23" s="41" t="s">
        <v>42</v>
      </c>
      <c r="Y23" s="38">
        <f t="shared" ref="Y23:AN23" si="8">SUM(Y21+Y22)</f>
        <v>18</v>
      </c>
      <c r="Z23" s="42">
        <f t="shared" si="8"/>
        <v>9</v>
      </c>
      <c r="AA23" s="42">
        <f t="shared" si="8"/>
        <v>1</v>
      </c>
      <c r="AB23" s="42">
        <f t="shared" si="8"/>
        <v>8</v>
      </c>
      <c r="AC23" s="43">
        <f t="shared" si="8"/>
        <v>8</v>
      </c>
      <c r="AD23" s="43">
        <f t="shared" si="8"/>
        <v>4</v>
      </c>
      <c r="AE23" s="43">
        <f t="shared" si="8"/>
        <v>0</v>
      </c>
      <c r="AF23" s="43">
        <f t="shared" si="8"/>
        <v>4</v>
      </c>
      <c r="AG23" s="44">
        <f t="shared" si="8"/>
        <v>10</v>
      </c>
      <c r="AH23" s="44">
        <f t="shared" si="8"/>
        <v>5</v>
      </c>
      <c r="AI23" s="44">
        <f t="shared" si="8"/>
        <v>1</v>
      </c>
      <c r="AJ23" s="44">
        <f t="shared" si="8"/>
        <v>4</v>
      </c>
      <c r="AK23" s="42">
        <f t="shared" si="8"/>
        <v>0</v>
      </c>
      <c r="AL23" s="42">
        <f t="shared" si="8"/>
        <v>0</v>
      </c>
      <c r="AM23" s="42">
        <f t="shared" si="8"/>
        <v>0</v>
      </c>
      <c r="AN23" s="42">
        <f t="shared" si="8"/>
        <v>0</v>
      </c>
    </row>
    <row r="25" spans="1:40" x14ac:dyDescent="0.2">
      <c r="A25" s="178" t="s">
        <v>429</v>
      </c>
    </row>
  </sheetData>
  <mergeCells count="13">
    <mergeCell ref="AP1:AQ1"/>
    <mergeCell ref="C23:E23"/>
    <mergeCell ref="A1:D1"/>
    <mergeCell ref="E1:G1"/>
    <mergeCell ref="H1:I1"/>
    <mergeCell ref="J1:M1"/>
    <mergeCell ref="Y1:AB1"/>
    <mergeCell ref="AC1:AF1"/>
    <mergeCell ref="AG1:AJ1"/>
    <mergeCell ref="AK1:AN1"/>
    <mergeCell ref="C21:E21"/>
    <mergeCell ref="N1:O1"/>
    <mergeCell ref="P1:R1"/>
  </mergeCells>
  <pageMargins left="0.7" right="0.7" top="0.75" bottom="0.75" header="0.3" footer="0.3"/>
  <ignoredErrors>
    <ignoredError sqref="T4:T5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F16A1-74DE-C042-B691-40145511206D}">
  <dimension ref="A1:AQ25"/>
  <sheetViews>
    <sheetView zoomScale="80" zoomScaleNormal="80" workbookViewId="0">
      <selection sqref="A1:D1"/>
    </sheetView>
  </sheetViews>
  <sheetFormatPr baseColWidth="10" defaultColWidth="11.5" defaultRowHeight="16" x14ac:dyDescent="0.2"/>
  <cols>
    <col min="1" max="1" width="6.5" bestFit="1" customWidth="1"/>
    <col min="2" max="2" width="6" bestFit="1" customWidth="1"/>
    <col min="3" max="3" width="12" customWidth="1"/>
    <col min="4" max="4" width="4.83203125" customWidth="1"/>
    <col min="5" max="7" width="4.6640625" customWidth="1"/>
    <col min="8" max="18" width="4.83203125" customWidth="1"/>
    <col min="19" max="19" width="7" customWidth="1"/>
    <col min="20" max="20" width="6.83203125" customWidth="1"/>
    <col min="21" max="21" width="24" bestFit="1" customWidth="1"/>
    <col min="22" max="23" width="29" bestFit="1" customWidth="1"/>
    <col min="24" max="24" width="24" bestFit="1" customWidth="1"/>
    <col min="25" max="40" width="4.83203125" customWidth="1"/>
    <col min="42" max="42" width="14.5" bestFit="1" customWidth="1"/>
  </cols>
  <sheetData>
    <row r="1" spans="1:43" ht="17" thickBot="1" x14ac:dyDescent="0.25">
      <c r="A1" s="457" t="s">
        <v>71</v>
      </c>
      <c r="B1" s="458"/>
      <c r="C1" s="458"/>
      <c r="D1" s="459"/>
      <c r="E1" s="460" t="s">
        <v>0</v>
      </c>
      <c r="F1" s="461"/>
      <c r="G1" s="462"/>
      <c r="H1" s="460" t="s">
        <v>1</v>
      </c>
      <c r="I1" s="462"/>
      <c r="J1" s="463" t="s">
        <v>2</v>
      </c>
      <c r="K1" s="464"/>
      <c r="L1" s="464"/>
      <c r="M1" s="465"/>
      <c r="N1" s="463" t="s">
        <v>3</v>
      </c>
      <c r="O1" s="465"/>
      <c r="P1" s="463" t="s">
        <v>4</v>
      </c>
      <c r="Q1" s="464"/>
      <c r="R1" s="465"/>
      <c r="S1" s="262" t="s">
        <v>5</v>
      </c>
      <c r="T1" s="262" t="s">
        <v>6</v>
      </c>
      <c r="U1" s="263" t="s">
        <v>7</v>
      </c>
      <c r="V1" s="264" t="s">
        <v>8</v>
      </c>
      <c r="W1" s="264" t="s">
        <v>9</v>
      </c>
      <c r="X1" s="265" t="s">
        <v>10</v>
      </c>
      <c r="Y1" s="466" t="s">
        <v>11</v>
      </c>
      <c r="Z1" s="467"/>
      <c r="AA1" s="467"/>
      <c r="AB1" s="468"/>
      <c r="AC1" s="466" t="s">
        <v>12</v>
      </c>
      <c r="AD1" s="467"/>
      <c r="AE1" s="467"/>
      <c r="AF1" s="468"/>
      <c r="AG1" s="466" t="s">
        <v>13</v>
      </c>
      <c r="AH1" s="467"/>
      <c r="AI1" s="467"/>
      <c r="AJ1" s="468"/>
      <c r="AK1" s="466" t="s">
        <v>14</v>
      </c>
      <c r="AL1" s="467"/>
      <c r="AM1" s="467"/>
      <c r="AN1" s="468"/>
      <c r="AP1" s="456" t="s">
        <v>195</v>
      </c>
      <c r="AQ1" s="456"/>
    </row>
    <row r="2" spans="1:43" ht="17" thickBot="1" x14ac:dyDescent="0.25">
      <c r="A2" s="266" t="s">
        <v>15</v>
      </c>
      <c r="B2" s="267" t="s">
        <v>16</v>
      </c>
      <c r="C2" s="268" t="s">
        <v>17</v>
      </c>
      <c r="D2" s="268" t="s">
        <v>18</v>
      </c>
      <c r="E2" s="269" t="s">
        <v>19</v>
      </c>
      <c r="F2" s="269" t="s">
        <v>20</v>
      </c>
      <c r="G2" s="269" t="s">
        <v>21</v>
      </c>
      <c r="H2" s="270" t="s">
        <v>22</v>
      </c>
      <c r="I2" s="270" t="s">
        <v>23</v>
      </c>
      <c r="J2" s="270" t="s">
        <v>24</v>
      </c>
      <c r="K2" s="270" t="s">
        <v>25</v>
      </c>
      <c r="L2" s="270" t="s">
        <v>26</v>
      </c>
      <c r="M2" s="270" t="s">
        <v>27</v>
      </c>
      <c r="N2" s="270" t="s">
        <v>28</v>
      </c>
      <c r="O2" s="270" t="s">
        <v>19</v>
      </c>
      <c r="P2" s="270" t="s">
        <v>22</v>
      </c>
      <c r="Q2" s="270" t="s">
        <v>23</v>
      </c>
      <c r="R2" s="270" t="s">
        <v>24</v>
      </c>
      <c r="S2" s="271"/>
      <c r="T2" s="272"/>
      <c r="U2" s="273"/>
      <c r="V2" s="271"/>
      <c r="W2" s="274"/>
      <c r="X2" s="275"/>
      <c r="Y2" s="276" t="s">
        <v>29</v>
      </c>
      <c r="Z2" s="276" t="s">
        <v>30</v>
      </c>
      <c r="AA2" s="276" t="s">
        <v>26</v>
      </c>
      <c r="AB2" s="276" t="s">
        <v>31</v>
      </c>
      <c r="AC2" s="276" t="s">
        <v>29</v>
      </c>
      <c r="AD2" s="276" t="s">
        <v>30</v>
      </c>
      <c r="AE2" s="276" t="s">
        <v>26</v>
      </c>
      <c r="AF2" s="276" t="s">
        <v>31</v>
      </c>
      <c r="AG2" s="276" t="s">
        <v>29</v>
      </c>
      <c r="AH2" s="276" t="s">
        <v>30</v>
      </c>
      <c r="AI2" s="276" t="s">
        <v>26</v>
      </c>
      <c r="AJ2" s="276" t="s">
        <v>31</v>
      </c>
      <c r="AK2" s="276" t="s">
        <v>29</v>
      </c>
      <c r="AL2" s="276" t="s">
        <v>30</v>
      </c>
      <c r="AM2" s="276" t="s">
        <v>26</v>
      </c>
      <c r="AN2" s="277" t="s">
        <v>31</v>
      </c>
      <c r="AP2" s="333" t="s">
        <v>187</v>
      </c>
      <c r="AQ2" s="329">
        <f>Y23+32</f>
        <v>50</v>
      </c>
    </row>
    <row r="3" spans="1:43" ht="17" thickBot="1" x14ac:dyDescent="0.25">
      <c r="A3" s="1" t="s">
        <v>45</v>
      </c>
      <c r="B3" s="2" t="s">
        <v>44</v>
      </c>
      <c r="C3" s="3" t="s">
        <v>63</v>
      </c>
      <c r="D3" s="4" t="s">
        <v>21</v>
      </c>
      <c r="E3" s="4" t="s">
        <v>30</v>
      </c>
      <c r="F3" s="4">
        <v>32</v>
      </c>
      <c r="G3" s="5">
        <v>29</v>
      </c>
      <c r="H3" s="6">
        <v>1</v>
      </c>
      <c r="I3" s="7">
        <v>0</v>
      </c>
      <c r="J3" s="7">
        <v>4</v>
      </c>
      <c r="K3" s="7">
        <v>3</v>
      </c>
      <c r="L3" s="7">
        <v>1</v>
      </c>
      <c r="M3" s="7">
        <v>1</v>
      </c>
      <c r="N3" s="7">
        <v>0</v>
      </c>
      <c r="O3" s="7">
        <v>0</v>
      </c>
      <c r="P3" s="7">
        <v>1</v>
      </c>
      <c r="Q3" s="7">
        <v>1</v>
      </c>
      <c r="R3" s="7">
        <v>4</v>
      </c>
      <c r="S3" s="8"/>
      <c r="T3" s="14" t="s">
        <v>228</v>
      </c>
      <c r="U3" s="10" t="s">
        <v>214</v>
      </c>
      <c r="V3" s="11" t="s">
        <v>204</v>
      </c>
      <c r="W3" s="12" t="s">
        <v>215</v>
      </c>
      <c r="X3" s="11" t="s">
        <v>216</v>
      </c>
      <c r="Y3" s="11">
        <v>1</v>
      </c>
      <c r="Z3" s="11">
        <v>1</v>
      </c>
      <c r="AA3" s="11">
        <v>0</v>
      </c>
      <c r="AB3" s="13">
        <v>0</v>
      </c>
      <c r="AC3" s="11"/>
      <c r="AD3" s="11"/>
      <c r="AE3" s="11"/>
      <c r="AF3" s="13"/>
      <c r="AG3" s="11">
        <v>1</v>
      </c>
      <c r="AH3" s="11">
        <v>1</v>
      </c>
      <c r="AI3" s="11">
        <v>0</v>
      </c>
      <c r="AJ3" s="13">
        <v>0</v>
      </c>
      <c r="AK3" s="11"/>
      <c r="AL3" s="11"/>
      <c r="AM3" s="11"/>
      <c r="AN3" s="13"/>
      <c r="AP3" s="333" t="s">
        <v>188</v>
      </c>
      <c r="AQ3" s="329">
        <f>Z23+2</f>
        <v>9</v>
      </c>
    </row>
    <row r="4" spans="1:43" ht="17" thickBot="1" x14ac:dyDescent="0.25">
      <c r="A4" s="66" t="s">
        <v>91</v>
      </c>
      <c r="B4" s="67" t="s">
        <v>44</v>
      </c>
      <c r="C4" s="68" t="s">
        <v>66</v>
      </c>
      <c r="D4" s="69" t="s">
        <v>47</v>
      </c>
      <c r="E4" s="69" t="s">
        <v>31</v>
      </c>
      <c r="F4" s="69">
        <v>23</v>
      </c>
      <c r="G4" s="70">
        <v>30</v>
      </c>
      <c r="H4" s="71">
        <v>0</v>
      </c>
      <c r="I4" s="72">
        <v>1</v>
      </c>
      <c r="J4" s="72">
        <v>3</v>
      </c>
      <c r="K4" s="69">
        <v>1</v>
      </c>
      <c r="L4" s="72">
        <v>0</v>
      </c>
      <c r="M4" s="69">
        <v>2</v>
      </c>
      <c r="N4" s="72">
        <v>0</v>
      </c>
      <c r="O4" s="72">
        <v>0</v>
      </c>
      <c r="P4" s="72">
        <v>1</v>
      </c>
      <c r="Q4" s="69">
        <v>0</v>
      </c>
      <c r="R4" s="72">
        <v>4</v>
      </c>
      <c r="S4" s="73"/>
      <c r="T4" s="84" t="s">
        <v>257</v>
      </c>
      <c r="U4" s="75" t="s">
        <v>258</v>
      </c>
      <c r="V4" s="76" t="s">
        <v>242</v>
      </c>
      <c r="W4" s="76" t="s">
        <v>215</v>
      </c>
      <c r="X4" s="77" t="s">
        <v>259</v>
      </c>
      <c r="Y4" s="76">
        <v>1</v>
      </c>
      <c r="Z4" s="76">
        <v>0</v>
      </c>
      <c r="AA4" s="76">
        <v>0</v>
      </c>
      <c r="AB4" s="78">
        <v>1</v>
      </c>
      <c r="AC4" s="76">
        <v>1</v>
      </c>
      <c r="AD4" s="76">
        <v>0</v>
      </c>
      <c r="AE4" s="76">
        <v>0</v>
      </c>
      <c r="AF4" s="78">
        <v>1</v>
      </c>
      <c r="AG4" s="76"/>
      <c r="AH4" s="76"/>
      <c r="AI4" s="76"/>
      <c r="AJ4" s="78"/>
      <c r="AK4" s="76"/>
      <c r="AL4" s="76"/>
      <c r="AM4" s="76"/>
      <c r="AN4" s="78"/>
      <c r="AP4" s="333" t="s">
        <v>189</v>
      </c>
      <c r="AQ4" s="329">
        <f>AA23</f>
        <v>0</v>
      </c>
    </row>
    <row r="5" spans="1:43" ht="17" thickBot="1" x14ac:dyDescent="0.25">
      <c r="A5" s="1" t="s">
        <v>50</v>
      </c>
      <c r="B5" s="2" t="s">
        <v>44</v>
      </c>
      <c r="C5" s="3" t="s">
        <v>83</v>
      </c>
      <c r="D5" s="4" t="s">
        <v>21</v>
      </c>
      <c r="E5" s="4" t="s">
        <v>30</v>
      </c>
      <c r="F5" s="4">
        <v>68</v>
      </c>
      <c r="G5" s="5">
        <v>28</v>
      </c>
      <c r="H5" s="65">
        <v>1</v>
      </c>
      <c r="I5" s="5">
        <v>0</v>
      </c>
      <c r="J5" s="7">
        <v>10</v>
      </c>
      <c r="K5" s="7">
        <v>7</v>
      </c>
      <c r="L5" s="7">
        <v>0</v>
      </c>
      <c r="M5" s="7">
        <v>0</v>
      </c>
      <c r="N5" s="7">
        <v>2</v>
      </c>
      <c r="O5" s="7">
        <v>0</v>
      </c>
      <c r="P5" s="4">
        <v>1</v>
      </c>
      <c r="Q5" s="7">
        <v>0</v>
      </c>
      <c r="R5" s="4">
        <v>4</v>
      </c>
      <c r="S5" s="8"/>
      <c r="T5" s="15" t="s">
        <v>291</v>
      </c>
      <c r="U5" s="10" t="s">
        <v>283</v>
      </c>
      <c r="V5" s="11" t="s">
        <v>242</v>
      </c>
      <c r="W5" s="11" t="s">
        <v>245</v>
      </c>
      <c r="X5" s="12" t="s">
        <v>284</v>
      </c>
      <c r="Y5" s="11">
        <v>1</v>
      </c>
      <c r="Z5" s="11">
        <v>1</v>
      </c>
      <c r="AA5" s="11">
        <v>0</v>
      </c>
      <c r="AB5" s="13">
        <v>0</v>
      </c>
      <c r="AC5" s="11"/>
      <c r="AD5" s="11"/>
      <c r="AE5" s="11"/>
      <c r="AF5" s="13"/>
      <c r="AG5" s="11">
        <v>1</v>
      </c>
      <c r="AH5" s="11">
        <v>1</v>
      </c>
      <c r="AI5" s="11">
        <v>0</v>
      </c>
      <c r="AJ5" s="13">
        <v>0</v>
      </c>
      <c r="AK5" s="11"/>
      <c r="AL5" s="11"/>
      <c r="AM5" s="11"/>
      <c r="AN5" s="13"/>
      <c r="AP5" s="333" t="s">
        <v>190</v>
      </c>
      <c r="AQ5" s="329">
        <f>AB23+30</f>
        <v>41</v>
      </c>
    </row>
    <row r="6" spans="1:43" ht="17" thickBot="1" x14ac:dyDescent="0.25">
      <c r="A6" s="66" t="s">
        <v>82</v>
      </c>
      <c r="B6" s="67" t="s">
        <v>44</v>
      </c>
      <c r="C6" s="68" t="s">
        <v>49</v>
      </c>
      <c r="D6" s="69" t="s">
        <v>47</v>
      </c>
      <c r="E6" s="69" t="s">
        <v>31</v>
      </c>
      <c r="F6" s="69">
        <v>22</v>
      </c>
      <c r="G6" s="70">
        <v>35</v>
      </c>
      <c r="H6" s="70">
        <v>0</v>
      </c>
      <c r="I6" s="72">
        <v>0</v>
      </c>
      <c r="J6" s="69">
        <v>3</v>
      </c>
      <c r="K6" s="69">
        <v>1</v>
      </c>
      <c r="L6" s="72">
        <v>1</v>
      </c>
      <c r="M6" s="72">
        <v>0</v>
      </c>
      <c r="N6" s="72">
        <v>1</v>
      </c>
      <c r="O6" s="72">
        <v>0</v>
      </c>
      <c r="P6" s="72">
        <v>1</v>
      </c>
      <c r="Q6" s="69">
        <v>0</v>
      </c>
      <c r="R6" s="72">
        <v>5</v>
      </c>
      <c r="S6" s="73"/>
      <c r="T6" s="74" t="s">
        <v>304</v>
      </c>
      <c r="U6" s="76" t="s">
        <v>212</v>
      </c>
      <c r="V6" s="76" t="s">
        <v>214</v>
      </c>
      <c r="W6" s="76" t="s">
        <v>273</v>
      </c>
      <c r="X6" s="75" t="s">
        <v>275</v>
      </c>
      <c r="Y6" s="76">
        <v>1</v>
      </c>
      <c r="Z6" s="76">
        <v>0</v>
      </c>
      <c r="AA6" s="76">
        <v>0</v>
      </c>
      <c r="AB6" s="78">
        <v>1</v>
      </c>
      <c r="AC6" s="76">
        <v>1</v>
      </c>
      <c r="AD6" s="76">
        <v>0</v>
      </c>
      <c r="AE6" s="76">
        <v>0</v>
      </c>
      <c r="AF6" s="78">
        <v>1</v>
      </c>
      <c r="AG6" s="76"/>
      <c r="AH6" s="76"/>
      <c r="AI6" s="76"/>
      <c r="AJ6" s="78"/>
      <c r="AK6" s="76"/>
      <c r="AL6" s="76"/>
      <c r="AM6" s="76"/>
      <c r="AN6" s="78"/>
      <c r="AP6" s="333" t="s">
        <v>191</v>
      </c>
      <c r="AQ6" s="329">
        <f>F23+476</f>
        <v>1020</v>
      </c>
    </row>
    <row r="7" spans="1:43" ht="17" thickBot="1" x14ac:dyDescent="0.25">
      <c r="A7" s="66" t="s">
        <v>34</v>
      </c>
      <c r="B7" s="67" t="s">
        <v>44</v>
      </c>
      <c r="C7" s="68" t="s">
        <v>61</v>
      </c>
      <c r="D7" s="69" t="s">
        <v>47</v>
      </c>
      <c r="E7" s="72" t="s">
        <v>31</v>
      </c>
      <c r="F7" s="69">
        <v>27</v>
      </c>
      <c r="G7" s="70">
        <v>30</v>
      </c>
      <c r="H7" s="71">
        <v>1</v>
      </c>
      <c r="I7" s="69">
        <v>1</v>
      </c>
      <c r="J7" s="72">
        <v>5</v>
      </c>
      <c r="K7" s="72">
        <v>1</v>
      </c>
      <c r="L7" s="72">
        <v>0</v>
      </c>
      <c r="M7" s="72">
        <v>0</v>
      </c>
      <c r="N7" s="72">
        <v>1</v>
      </c>
      <c r="O7" s="72">
        <v>0</v>
      </c>
      <c r="P7" s="72">
        <v>1</v>
      </c>
      <c r="Q7" s="72">
        <v>0</v>
      </c>
      <c r="R7" s="72">
        <v>4</v>
      </c>
      <c r="S7" s="73"/>
      <c r="T7" s="84" t="s">
        <v>314</v>
      </c>
      <c r="U7" s="75" t="s">
        <v>294</v>
      </c>
      <c r="V7" s="76" t="s">
        <v>242</v>
      </c>
      <c r="W7" s="76" t="s">
        <v>214</v>
      </c>
      <c r="X7" s="77" t="s">
        <v>315</v>
      </c>
      <c r="Y7" s="76">
        <v>1</v>
      </c>
      <c r="Z7" s="76">
        <v>0</v>
      </c>
      <c r="AA7" s="76">
        <v>0</v>
      </c>
      <c r="AB7" s="78">
        <v>1</v>
      </c>
      <c r="AC7" s="76">
        <v>1</v>
      </c>
      <c r="AD7" s="76">
        <v>0</v>
      </c>
      <c r="AE7" s="76">
        <v>0</v>
      </c>
      <c r="AF7" s="78">
        <v>1</v>
      </c>
      <c r="AG7" s="76"/>
      <c r="AH7" s="76"/>
      <c r="AI7" s="76"/>
      <c r="AJ7" s="78"/>
      <c r="AK7" s="76"/>
      <c r="AL7" s="76"/>
      <c r="AM7" s="76"/>
      <c r="AN7" s="78"/>
      <c r="AP7" s="333" t="s">
        <v>192</v>
      </c>
      <c r="AQ7" s="329">
        <f>G23+1210</f>
        <v>1707</v>
      </c>
    </row>
    <row r="8" spans="1:43" ht="17" thickBot="1" x14ac:dyDescent="0.25">
      <c r="A8" s="1" t="s">
        <v>54</v>
      </c>
      <c r="B8" s="2" t="s">
        <v>44</v>
      </c>
      <c r="C8" s="3" t="s">
        <v>60</v>
      </c>
      <c r="D8" s="4" t="s">
        <v>21</v>
      </c>
      <c r="E8" s="7" t="s">
        <v>31</v>
      </c>
      <c r="F8" s="4">
        <v>32</v>
      </c>
      <c r="G8" s="5">
        <v>34</v>
      </c>
      <c r="H8" s="6">
        <v>1</v>
      </c>
      <c r="I8" s="4">
        <v>1</v>
      </c>
      <c r="J8" s="7">
        <v>5</v>
      </c>
      <c r="K8" s="7">
        <v>2</v>
      </c>
      <c r="L8" s="7">
        <v>0</v>
      </c>
      <c r="M8" s="7">
        <v>1</v>
      </c>
      <c r="N8" s="7">
        <v>1</v>
      </c>
      <c r="O8" s="7">
        <v>0</v>
      </c>
      <c r="P8" s="4">
        <v>1</v>
      </c>
      <c r="Q8" s="7">
        <v>0</v>
      </c>
      <c r="R8" s="7">
        <v>5</v>
      </c>
      <c r="S8" s="8"/>
      <c r="T8" s="19" t="s">
        <v>317</v>
      </c>
      <c r="U8" s="10" t="s">
        <v>214</v>
      </c>
      <c r="V8" s="11" t="s">
        <v>211</v>
      </c>
      <c r="W8" s="11" t="s">
        <v>206</v>
      </c>
      <c r="X8" s="12" t="s">
        <v>255</v>
      </c>
      <c r="Y8" s="11">
        <v>1</v>
      </c>
      <c r="Z8" s="11">
        <v>0</v>
      </c>
      <c r="AA8" s="11">
        <v>0</v>
      </c>
      <c r="AB8" s="13">
        <v>1</v>
      </c>
      <c r="AC8" s="11"/>
      <c r="AD8" s="11"/>
      <c r="AE8" s="11"/>
      <c r="AF8" s="13"/>
      <c r="AG8" s="11">
        <v>1</v>
      </c>
      <c r="AH8" s="11">
        <v>0</v>
      </c>
      <c r="AI8" s="11">
        <v>0</v>
      </c>
      <c r="AJ8" s="13">
        <v>1</v>
      </c>
      <c r="AK8" s="11"/>
      <c r="AL8" s="11"/>
      <c r="AM8" s="11"/>
      <c r="AN8" s="13"/>
      <c r="AP8" s="333" t="s">
        <v>193</v>
      </c>
      <c r="AQ8" s="329">
        <f>J23+68</f>
        <v>147</v>
      </c>
    </row>
    <row r="9" spans="1:43" ht="17" thickBot="1" x14ac:dyDescent="0.25">
      <c r="A9" s="66" t="s">
        <v>92</v>
      </c>
      <c r="B9" s="67" t="s">
        <v>44</v>
      </c>
      <c r="C9" s="68" t="s">
        <v>55</v>
      </c>
      <c r="D9" s="69" t="s">
        <v>47</v>
      </c>
      <c r="E9" s="72" t="s">
        <v>30</v>
      </c>
      <c r="F9" s="69">
        <v>22</v>
      </c>
      <c r="G9" s="70">
        <v>20</v>
      </c>
      <c r="H9" s="71">
        <v>0</v>
      </c>
      <c r="I9" s="72">
        <v>0</v>
      </c>
      <c r="J9" s="72">
        <v>3</v>
      </c>
      <c r="K9" s="72">
        <v>2</v>
      </c>
      <c r="L9" s="72">
        <v>0</v>
      </c>
      <c r="M9" s="72">
        <v>1</v>
      </c>
      <c r="N9" s="72">
        <v>0</v>
      </c>
      <c r="O9" s="72">
        <v>0</v>
      </c>
      <c r="P9" s="72">
        <v>0</v>
      </c>
      <c r="Q9" s="72">
        <v>1</v>
      </c>
      <c r="R9" s="72">
        <v>2</v>
      </c>
      <c r="S9" s="73"/>
      <c r="T9" s="80" t="s">
        <v>248</v>
      </c>
      <c r="U9" s="75" t="s">
        <v>206</v>
      </c>
      <c r="V9" s="76" t="s">
        <v>207</v>
      </c>
      <c r="W9" s="76" t="s">
        <v>215</v>
      </c>
      <c r="X9" s="77" t="s">
        <v>336</v>
      </c>
      <c r="Y9" s="76">
        <v>1</v>
      </c>
      <c r="Z9" s="76">
        <v>1</v>
      </c>
      <c r="AA9" s="76">
        <v>0</v>
      </c>
      <c r="AB9" s="78">
        <v>0</v>
      </c>
      <c r="AC9" s="76">
        <v>1</v>
      </c>
      <c r="AD9" s="76">
        <v>1</v>
      </c>
      <c r="AE9" s="76">
        <v>0</v>
      </c>
      <c r="AF9" s="78">
        <v>0</v>
      </c>
      <c r="AG9" s="76"/>
      <c r="AH9" s="76"/>
      <c r="AI9" s="76"/>
      <c r="AJ9" s="78"/>
      <c r="AK9" s="76"/>
      <c r="AL9" s="76"/>
      <c r="AM9" s="76"/>
      <c r="AN9" s="78"/>
      <c r="AP9" s="333" t="s">
        <v>194</v>
      </c>
      <c r="AQ9" s="329">
        <f>R23+176</f>
        <v>246</v>
      </c>
    </row>
    <row r="10" spans="1:43" ht="17" thickBot="1" x14ac:dyDescent="0.25">
      <c r="A10" s="1" t="s">
        <v>93</v>
      </c>
      <c r="B10" s="2" t="s">
        <v>44</v>
      </c>
      <c r="C10" s="3" t="s">
        <v>52</v>
      </c>
      <c r="D10" s="4" t="s">
        <v>21</v>
      </c>
      <c r="E10" s="4" t="s">
        <v>30</v>
      </c>
      <c r="F10" s="4">
        <v>38</v>
      </c>
      <c r="G10" s="5">
        <v>17</v>
      </c>
      <c r="H10" s="6">
        <v>1</v>
      </c>
      <c r="I10" s="7">
        <v>0</v>
      </c>
      <c r="J10" s="7">
        <v>6</v>
      </c>
      <c r="K10" s="7">
        <v>3</v>
      </c>
      <c r="L10" s="7">
        <v>0</v>
      </c>
      <c r="M10" s="7">
        <v>0</v>
      </c>
      <c r="N10" s="4">
        <v>0</v>
      </c>
      <c r="O10" s="7">
        <v>1</v>
      </c>
      <c r="P10" s="7">
        <v>0</v>
      </c>
      <c r="Q10" s="4">
        <v>0</v>
      </c>
      <c r="R10" s="7">
        <v>3</v>
      </c>
      <c r="S10" s="8"/>
      <c r="T10" s="15" t="s">
        <v>362</v>
      </c>
      <c r="U10" s="10" t="s">
        <v>214</v>
      </c>
      <c r="V10" s="11" t="s">
        <v>276</v>
      </c>
      <c r="W10" s="11" t="s">
        <v>254</v>
      </c>
      <c r="X10" s="12" t="s">
        <v>210</v>
      </c>
      <c r="Y10" s="11">
        <v>1</v>
      </c>
      <c r="Z10" s="11">
        <v>1</v>
      </c>
      <c r="AA10" s="11">
        <v>0</v>
      </c>
      <c r="AB10" s="13">
        <v>0</v>
      </c>
      <c r="AC10" s="11"/>
      <c r="AD10" s="11"/>
      <c r="AE10" s="11"/>
      <c r="AF10" s="13"/>
      <c r="AG10" s="11">
        <v>1</v>
      </c>
      <c r="AH10" s="11">
        <v>1</v>
      </c>
      <c r="AI10" s="11">
        <v>0</v>
      </c>
      <c r="AJ10" s="13">
        <v>0</v>
      </c>
      <c r="AK10" s="11"/>
      <c r="AL10" s="11"/>
      <c r="AM10" s="11"/>
      <c r="AN10" s="13"/>
    </row>
    <row r="11" spans="1:43" ht="17" thickBot="1" x14ac:dyDescent="0.25">
      <c r="A11" s="1" t="s">
        <v>85</v>
      </c>
      <c r="B11" s="2" t="s">
        <v>44</v>
      </c>
      <c r="C11" s="3" t="s">
        <v>66</v>
      </c>
      <c r="D11" s="4" t="s">
        <v>21</v>
      </c>
      <c r="E11" s="4" t="s">
        <v>31</v>
      </c>
      <c r="F11" s="4">
        <v>24</v>
      </c>
      <c r="G11" s="5">
        <v>30</v>
      </c>
      <c r="H11" s="6">
        <v>1</v>
      </c>
      <c r="I11" s="7">
        <v>1</v>
      </c>
      <c r="J11" s="7">
        <v>4</v>
      </c>
      <c r="K11" s="7">
        <v>2</v>
      </c>
      <c r="L11" s="7">
        <v>0</v>
      </c>
      <c r="M11" s="7">
        <v>0</v>
      </c>
      <c r="N11" s="7">
        <v>2</v>
      </c>
      <c r="O11" s="7">
        <v>0</v>
      </c>
      <c r="P11" s="7">
        <v>0</v>
      </c>
      <c r="Q11" s="4">
        <v>0</v>
      </c>
      <c r="R11" s="7">
        <v>3</v>
      </c>
      <c r="S11" s="8"/>
      <c r="T11" s="9" t="s">
        <v>384</v>
      </c>
      <c r="U11" s="10" t="s">
        <v>199</v>
      </c>
      <c r="V11" s="11" t="s">
        <v>214</v>
      </c>
      <c r="W11" s="11" t="s">
        <v>281</v>
      </c>
      <c r="X11" s="12" t="s">
        <v>207</v>
      </c>
      <c r="Y11" s="11">
        <v>1</v>
      </c>
      <c r="Z11" s="11">
        <v>0</v>
      </c>
      <c r="AA11" s="11">
        <v>0</v>
      </c>
      <c r="AB11" s="13">
        <v>1</v>
      </c>
      <c r="AC11" s="11"/>
      <c r="AD11" s="11"/>
      <c r="AE11" s="11"/>
      <c r="AF11" s="13"/>
      <c r="AG11" s="11">
        <v>1</v>
      </c>
      <c r="AH11" s="11">
        <v>0</v>
      </c>
      <c r="AI11" s="11">
        <v>0</v>
      </c>
      <c r="AJ11" s="13">
        <v>1</v>
      </c>
      <c r="AK11" s="11"/>
      <c r="AL11" s="11"/>
      <c r="AM11" s="11"/>
      <c r="AN11" s="13"/>
    </row>
    <row r="12" spans="1:43" ht="17" thickBot="1" x14ac:dyDescent="0.25">
      <c r="A12" s="81" t="s">
        <v>36</v>
      </c>
      <c r="B12" s="67" t="s">
        <v>44</v>
      </c>
      <c r="C12" s="68" t="s">
        <v>63</v>
      </c>
      <c r="D12" s="69" t="s">
        <v>47</v>
      </c>
      <c r="E12" s="69" t="s">
        <v>31</v>
      </c>
      <c r="F12" s="69">
        <v>29</v>
      </c>
      <c r="G12" s="70">
        <v>26</v>
      </c>
      <c r="H12" s="71">
        <v>1</v>
      </c>
      <c r="I12" s="72">
        <v>1</v>
      </c>
      <c r="J12" s="72">
        <v>4</v>
      </c>
      <c r="K12" s="72">
        <v>3</v>
      </c>
      <c r="L12" s="72">
        <v>0</v>
      </c>
      <c r="M12" s="72">
        <v>0</v>
      </c>
      <c r="N12" s="69">
        <v>2</v>
      </c>
      <c r="O12" s="72">
        <v>1</v>
      </c>
      <c r="P12" s="72">
        <v>1</v>
      </c>
      <c r="Q12" s="72">
        <v>0</v>
      </c>
      <c r="R12" s="72">
        <v>4</v>
      </c>
      <c r="S12" s="82"/>
      <c r="T12" s="74" t="s">
        <v>392</v>
      </c>
      <c r="U12" s="75" t="s">
        <v>215</v>
      </c>
      <c r="V12" s="76" t="s">
        <v>214</v>
      </c>
      <c r="W12" s="76" t="s">
        <v>208</v>
      </c>
      <c r="X12" s="77" t="s">
        <v>407</v>
      </c>
      <c r="Y12" s="76">
        <v>1</v>
      </c>
      <c r="Z12" s="76">
        <v>0</v>
      </c>
      <c r="AA12" s="76">
        <v>0</v>
      </c>
      <c r="AB12" s="78">
        <v>1</v>
      </c>
      <c r="AC12" s="76">
        <v>1</v>
      </c>
      <c r="AD12" s="76">
        <v>0</v>
      </c>
      <c r="AE12" s="76">
        <v>0</v>
      </c>
      <c r="AF12" s="78">
        <v>1</v>
      </c>
      <c r="AG12" s="76"/>
      <c r="AH12" s="76"/>
      <c r="AI12" s="76"/>
      <c r="AJ12" s="78"/>
      <c r="AK12" s="76"/>
      <c r="AL12" s="76"/>
      <c r="AM12" s="76"/>
      <c r="AN12" s="78"/>
    </row>
    <row r="13" spans="1:43" ht="17" thickBot="1" x14ac:dyDescent="0.25">
      <c r="A13" s="81" t="s">
        <v>94</v>
      </c>
      <c r="B13" s="67" t="s">
        <v>44</v>
      </c>
      <c r="C13" s="68" t="s">
        <v>60</v>
      </c>
      <c r="D13" s="69" t="s">
        <v>47</v>
      </c>
      <c r="E13" s="69" t="s">
        <v>30</v>
      </c>
      <c r="F13" s="69">
        <v>14</v>
      </c>
      <c r="G13" s="70">
        <v>7</v>
      </c>
      <c r="H13" s="71">
        <v>0</v>
      </c>
      <c r="I13" s="72">
        <v>0</v>
      </c>
      <c r="J13" s="72">
        <v>2</v>
      </c>
      <c r="K13" s="72">
        <v>2</v>
      </c>
      <c r="L13" s="72">
        <v>0</v>
      </c>
      <c r="M13" s="72">
        <v>0</v>
      </c>
      <c r="N13" s="72">
        <v>4</v>
      </c>
      <c r="O13" s="72">
        <v>0</v>
      </c>
      <c r="P13" s="72">
        <v>0</v>
      </c>
      <c r="Q13" s="72">
        <v>1</v>
      </c>
      <c r="R13" s="72">
        <v>1</v>
      </c>
      <c r="S13" s="82"/>
      <c r="T13" s="80" t="s">
        <v>363</v>
      </c>
      <c r="U13" s="75" t="s">
        <v>389</v>
      </c>
      <c r="V13" s="76" t="s">
        <v>199</v>
      </c>
      <c r="W13" s="76" t="s">
        <v>212</v>
      </c>
      <c r="X13" s="77" t="s">
        <v>407</v>
      </c>
      <c r="Y13" s="76">
        <v>1</v>
      </c>
      <c r="Z13" s="76">
        <v>1</v>
      </c>
      <c r="AA13" s="76">
        <v>0</v>
      </c>
      <c r="AB13" s="78">
        <v>0</v>
      </c>
      <c r="AC13" s="76">
        <v>1</v>
      </c>
      <c r="AD13" s="76">
        <v>1</v>
      </c>
      <c r="AE13" s="76">
        <v>0</v>
      </c>
      <c r="AF13" s="78">
        <v>0</v>
      </c>
      <c r="AG13" s="76"/>
      <c r="AH13" s="76"/>
      <c r="AI13" s="76"/>
      <c r="AJ13" s="78"/>
      <c r="AK13" s="76"/>
      <c r="AL13" s="76"/>
      <c r="AM13" s="76"/>
      <c r="AN13" s="78"/>
    </row>
    <row r="14" spans="1:43" ht="17" thickBot="1" x14ac:dyDescent="0.25">
      <c r="A14" s="16" t="s">
        <v>64</v>
      </c>
      <c r="B14" s="2" t="s">
        <v>44</v>
      </c>
      <c r="C14" s="3" t="s">
        <v>46</v>
      </c>
      <c r="D14" s="4" t="s">
        <v>21</v>
      </c>
      <c r="E14" s="4" t="s">
        <v>31</v>
      </c>
      <c r="F14" s="4">
        <v>24</v>
      </c>
      <c r="G14" s="5">
        <v>26</v>
      </c>
      <c r="H14" s="6">
        <v>0</v>
      </c>
      <c r="I14" s="7">
        <v>1</v>
      </c>
      <c r="J14" s="7">
        <v>3</v>
      </c>
      <c r="K14" s="7">
        <v>3</v>
      </c>
      <c r="L14" s="7">
        <v>0</v>
      </c>
      <c r="M14" s="7">
        <v>1</v>
      </c>
      <c r="N14" s="7">
        <v>0</v>
      </c>
      <c r="O14" s="7">
        <v>0</v>
      </c>
      <c r="P14" s="7">
        <v>1</v>
      </c>
      <c r="Q14" s="7">
        <v>0</v>
      </c>
      <c r="R14" s="7">
        <v>4</v>
      </c>
      <c r="S14" s="17"/>
      <c r="T14" s="19" t="s">
        <v>428</v>
      </c>
      <c r="U14" s="10" t="s">
        <v>197</v>
      </c>
      <c r="V14" s="11" t="s">
        <v>206</v>
      </c>
      <c r="W14" s="11" t="s">
        <v>245</v>
      </c>
      <c r="X14" s="12" t="s">
        <v>214</v>
      </c>
      <c r="Y14" s="11">
        <v>1</v>
      </c>
      <c r="Z14" s="11">
        <v>0</v>
      </c>
      <c r="AA14" s="11">
        <v>0</v>
      </c>
      <c r="AB14" s="13">
        <v>1</v>
      </c>
      <c r="AC14" s="11"/>
      <c r="AD14" s="11"/>
      <c r="AE14" s="11"/>
      <c r="AF14" s="13"/>
      <c r="AG14" s="11">
        <v>1</v>
      </c>
      <c r="AH14" s="11">
        <v>0</v>
      </c>
      <c r="AI14" s="11">
        <v>0</v>
      </c>
      <c r="AJ14" s="13">
        <v>1</v>
      </c>
      <c r="AK14" s="11"/>
      <c r="AL14" s="11"/>
      <c r="AM14" s="11"/>
      <c r="AN14" s="13"/>
    </row>
    <row r="15" spans="1:43" ht="17" thickBot="1" x14ac:dyDescent="0.25">
      <c r="A15" s="81" t="s">
        <v>87</v>
      </c>
      <c r="B15" s="67" t="s">
        <v>44</v>
      </c>
      <c r="C15" s="68" t="s">
        <v>57</v>
      </c>
      <c r="D15" s="69" t="s">
        <v>47</v>
      </c>
      <c r="E15" s="69" t="s">
        <v>30</v>
      </c>
      <c r="F15" s="69">
        <v>22</v>
      </c>
      <c r="G15" s="70">
        <v>20</v>
      </c>
      <c r="H15" s="71">
        <v>0</v>
      </c>
      <c r="I15" s="72">
        <v>0</v>
      </c>
      <c r="J15" s="72">
        <v>3</v>
      </c>
      <c r="K15" s="72">
        <v>1</v>
      </c>
      <c r="L15" s="72">
        <v>0</v>
      </c>
      <c r="M15" s="72">
        <v>1</v>
      </c>
      <c r="N15" s="72">
        <v>0</v>
      </c>
      <c r="O15" s="72">
        <v>0</v>
      </c>
      <c r="P15" s="72">
        <v>0</v>
      </c>
      <c r="Q15" s="72">
        <v>1</v>
      </c>
      <c r="R15" s="72">
        <v>3</v>
      </c>
      <c r="S15" s="82"/>
      <c r="T15" s="172" t="s">
        <v>437</v>
      </c>
      <c r="U15" s="75" t="s">
        <v>205</v>
      </c>
      <c r="V15" s="76" t="s">
        <v>297</v>
      </c>
      <c r="W15" s="76" t="s">
        <v>212</v>
      </c>
      <c r="X15" s="77" t="s">
        <v>275</v>
      </c>
      <c r="Y15" s="76">
        <v>1</v>
      </c>
      <c r="Z15" s="76">
        <v>1</v>
      </c>
      <c r="AA15" s="76">
        <v>0</v>
      </c>
      <c r="AB15" s="78">
        <v>0</v>
      </c>
      <c r="AC15" s="76">
        <v>1</v>
      </c>
      <c r="AD15" s="76">
        <v>1</v>
      </c>
      <c r="AE15" s="76">
        <v>0</v>
      </c>
      <c r="AF15" s="78">
        <v>0</v>
      </c>
      <c r="AG15" s="76"/>
      <c r="AH15" s="76"/>
      <c r="AI15" s="76"/>
      <c r="AJ15" s="78"/>
      <c r="AK15" s="76"/>
      <c r="AL15" s="76"/>
      <c r="AM15" s="76"/>
      <c r="AN15" s="78"/>
    </row>
    <row r="16" spans="1:43" ht="17" thickBot="1" x14ac:dyDescent="0.25">
      <c r="A16" s="81" t="s">
        <v>37</v>
      </c>
      <c r="B16" s="67" t="s">
        <v>44</v>
      </c>
      <c r="C16" s="68" t="s">
        <v>53</v>
      </c>
      <c r="D16" s="69" t="s">
        <v>47</v>
      </c>
      <c r="E16" s="69" t="s">
        <v>31</v>
      </c>
      <c r="F16" s="69">
        <v>34</v>
      </c>
      <c r="G16" s="70">
        <v>36</v>
      </c>
      <c r="H16" s="71">
        <v>1</v>
      </c>
      <c r="I16" s="72">
        <v>1</v>
      </c>
      <c r="J16" s="72">
        <v>4</v>
      </c>
      <c r="K16" s="72">
        <v>3</v>
      </c>
      <c r="L16" s="72">
        <v>0</v>
      </c>
      <c r="M16" s="72">
        <v>2</v>
      </c>
      <c r="N16" s="72">
        <v>2</v>
      </c>
      <c r="O16" s="72">
        <v>0</v>
      </c>
      <c r="P16" s="72">
        <v>1</v>
      </c>
      <c r="Q16" s="72">
        <v>0</v>
      </c>
      <c r="R16" s="72">
        <v>5</v>
      </c>
      <c r="S16" s="82"/>
      <c r="T16" s="83" t="s">
        <v>443</v>
      </c>
      <c r="U16" s="75" t="s">
        <v>197</v>
      </c>
      <c r="V16" s="76" t="s">
        <v>199</v>
      </c>
      <c r="W16" s="76" t="s">
        <v>254</v>
      </c>
      <c r="X16" s="76" t="s">
        <v>407</v>
      </c>
      <c r="Y16" s="76">
        <v>1</v>
      </c>
      <c r="Z16" s="76">
        <v>0</v>
      </c>
      <c r="AA16" s="76">
        <v>0</v>
      </c>
      <c r="AB16" s="78">
        <v>1</v>
      </c>
      <c r="AC16" s="76">
        <v>1</v>
      </c>
      <c r="AD16" s="76">
        <v>0</v>
      </c>
      <c r="AE16" s="76">
        <v>0</v>
      </c>
      <c r="AF16" s="78">
        <v>1</v>
      </c>
      <c r="AG16" s="76"/>
      <c r="AH16" s="76"/>
      <c r="AI16" s="76"/>
      <c r="AJ16" s="78"/>
      <c r="AK16" s="76"/>
      <c r="AL16" s="76"/>
      <c r="AM16" s="76"/>
      <c r="AN16" s="78"/>
    </row>
    <row r="17" spans="1:40" ht="17" thickBot="1" x14ac:dyDescent="0.25">
      <c r="A17" s="16" t="s">
        <v>68</v>
      </c>
      <c r="B17" s="2" t="s">
        <v>44</v>
      </c>
      <c r="C17" s="3" t="s">
        <v>55</v>
      </c>
      <c r="D17" s="4" t="s">
        <v>21</v>
      </c>
      <c r="E17" s="4" t="s">
        <v>31</v>
      </c>
      <c r="F17" s="4">
        <v>46</v>
      </c>
      <c r="G17" s="5">
        <v>50</v>
      </c>
      <c r="H17" s="6">
        <v>1</v>
      </c>
      <c r="I17" s="7">
        <v>1</v>
      </c>
      <c r="J17" s="7">
        <v>8</v>
      </c>
      <c r="K17" s="7">
        <v>2</v>
      </c>
      <c r="L17" s="7">
        <v>0</v>
      </c>
      <c r="M17" s="7">
        <v>0</v>
      </c>
      <c r="N17" s="4">
        <v>0</v>
      </c>
      <c r="O17" s="7">
        <v>0</v>
      </c>
      <c r="P17" s="7">
        <v>1</v>
      </c>
      <c r="Q17" s="7">
        <v>0</v>
      </c>
      <c r="R17" s="7">
        <v>8</v>
      </c>
      <c r="S17" s="8"/>
      <c r="T17" s="9" t="s">
        <v>460</v>
      </c>
      <c r="U17" s="11" t="s">
        <v>258</v>
      </c>
      <c r="V17" s="11" t="s">
        <v>337</v>
      </c>
      <c r="W17" s="11" t="s">
        <v>208</v>
      </c>
      <c r="X17" s="11" t="s">
        <v>251</v>
      </c>
      <c r="Y17" s="11">
        <v>1</v>
      </c>
      <c r="Z17" s="11">
        <v>0</v>
      </c>
      <c r="AA17" s="11">
        <v>0</v>
      </c>
      <c r="AB17" s="13">
        <v>1</v>
      </c>
      <c r="AC17" s="11"/>
      <c r="AD17" s="11"/>
      <c r="AE17" s="11"/>
      <c r="AF17" s="13"/>
      <c r="AG17" s="11">
        <v>1</v>
      </c>
      <c r="AH17" s="11">
        <v>0</v>
      </c>
      <c r="AI17" s="11">
        <v>0</v>
      </c>
      <c r="AJ17" s="13">
        <v>1</v>
      </c>
      <c r="AK17" s="11"/>
      <c r="AL17" s="11"/>
      <c r="AM17" s="11"/>
      <c r="AN17" s="13"/>
    </row>
    <row r="18" spans="1:40" ht="17" thickBot="1" x14ac:dyDescent="0.25">
      <c r="A18" s="16" t="s">
        <v>89</v>
      </c>
      <c r="B18" s="2" t="s">
        <v>44</v>
      </c>
      <c r="C18" s="20" t="s">
        <v>61</v>
      </c>
      <c r="D18" s="21" t="s">
        <v>21</v>
      </c>
      <c r="E18" s="21" t="s">
        <v>31</v>
      </c>
      <c r="F18" s="22">
        <v>28</v>
      </c>
      <c r="G18" s="23">
        <v>29</v>
      </c>
      <c r="H18" s="24">
        <v>1</v>
      </c>
      <c r="I18" s="25">
        <v>1</v>
      </c>
      <c r="J18" s="25">
        <v>4</v>
      </c>
      <c r="K18" s="25">
        <v>3</v>
      </c>
      <c r="L18" s="25">
        <v>0</v>
      </c>
      <c r="M18" s="25">
        <v>0</v>
      </c>
      <c r="N18" s="25">
        <v>2</v>
      </c>
      <c r="O18" s="25">
        <v>0</v>
      </c>
      <c r="P18" s="25">
        <v>1</v>
      </c>
      <c r="Q18" s="25">
        <v>0</v>
      </c>
      <c r="R18" s="25">
        <v>4</v>
      </c>
      <c r="S18" s="26"/>
      <c r="T18" s="27" t="s">
        <v>473</v>
      </c>
      <c r="U18" s="28" t="s">
        <v>197</v>
      </c>
      <c r="V18" s="28" t="s">
        <v>199</v>
      </c>
      <c r="W18" s="28" t="s">
        <v>467</v>
      </c>
      <c r="X18" s="29" t="s">
        <v>275</v>
      </c>
      <c r="Y18" s="28">
        <v>1</v>
      </c>
      <c r="Z18" s="28">
        <v>0</v>
      </c>
      <c r="AA18" s="28">
        <v>0</v>
      </c>
      <c r="AB18" s="30">
        <v>1</v>
      </c>
      <c r="AC18" s="28"/>
      <c r="AD18" s="28"/>
      <c r="AE18" s="28"/>
      <c r="AF18" s="30"/>
      <c r="AG18" s="28">
        <v>1</v>
      </c>
      <c r="AH18" s="28">
        <v>0</v>
      </c>
      <c r="AI18" s="28">
        <v>0</v>
      </c>
      <c r="AJ18" s="30">
        <v>1</v>
      </c>
      <c r="AK18" s="28"/>
      <c r="AL18" s="28"/>
      <c r="AM18" s="28"/>
      <c r="AN18" s="30"/>
    </row>
    <row r="19" spans="1:40" ht="17" thickBot="1" x14ac:dyDescent="0.25">
      <c r="A19" s="402" t="s">
        <v>478</v>
      </c>
      <c r="B19" s="402" t="s">
        <v>481</v>
      </c>
      <c r="C19" s="403" t="s">
        <v>61</v>
      </c>
      <c r="D19" s="31" t="s">
        <v>21</v>
      </c>
      <c r="E19" s="4" t="s">
        <v>30</v>
      </c>
      <c r="F19" s="4">
        <v>34</v>
      </c>
      <c r="G19" s="5">
        <v>22</v>
      </c>
      <c r="H19" s="6" t="s">
        <v>483</v>
      </c>
      <c r="I19" s="7" t="s">
        <v>483</v>
      </c>
      <c r="J19" s="7">
        <v>5</v>
      </c>
      <c r="K19" s="7">
        <v>3</v>
      </c>
      <c r="L19" s="7">
        <v>0</v>
      </c>
      <c r="M19" s="7">
        <v>1</v>
      </c>
      <c r="N19" s="7">
        <v>1</v>
      </c>
      <c r="O19" s="7">
        <v>0</v>
      </c>
      <c r="P19" s="7" t="s">
        <v>483</v>
      </c>
      <c r="Q19" s="7" t="s">
        <v>483</v>
      </c>
      <c r="R19" s="7">
        <v>3</v>
      </c>
      <c r="S19" s="17"/>
      <c r="T19" s="408" t="s">
        <v>487</v>
      </c>
      <c r="U19" s="11" t="s">
        <v>205</v>
      </c>
      <c r="V19" s="11" t="s">
        <v>199</v>
      </c>
      <c r="W19" s="11" t="s">
        <v>245</v>
      </c>
      <c r="X19" s="405" t="s">
        <v>273</v>
      </c>
      <c r="Y19" s="11">
        <v>1</v>
      </c>
      <c r="Z19" s="11">
        <v>1</v>
      </c>
      <c r="AA19" s="11">
        <v>0</v>
      </c>
      <c r="AB19" s="13">
        <v>0</v>
      </c>
      <c r="AC19" s="11"/>
      <c r="AD19" s="11"/>
      <c r="AE19" s="11"/>
      <c r="AF19" s="13"/>
      <c r="AG19" s="11">
        <v>1</v>
      </c>
      <c r="AH19" s="11">
        <v>1</v>
      </c>
      <c r="AI19" s="11">
        <v>0</v>
      </c>
      <c r="AJ19" s="13">
        <v>0</v>
      </c>
      <c r="AK19" s="11"/>
      <c r="AL19" s="11"/>
      <c r="AM19" s="11"/>
      <c r="AN19" s="13"/>
    </row>
    <row r="20" spans="1:40" ht="17" thickBot="1" x14ac:dyDescent="0.25">
      <c r="A20" s="402" t="s">
        <v>493</v>
      </c>
      <c r="B20" s="402" t="s">
        <v>482</v>
      </c>
      <c r="C20" s="403" t="s">
        <v>60</v>
      </c>
      <c r="D20" s="31" t="s">
        <v>21</v>
      </c>
      <c r="E20" s="4" t="s">
        <v>31</v>
      </c>
      <c r="F20" s="4">
        <v>25</v>
      </c>
      <c r="G20" s="5">
        <v>28</v>
      </c>
      <c r="H20" s="6" t="s">
        <v>483</v>
      </c>
      <c r="I20" s="7" t="s">
        <v>483</v>
      </c>
      <c r="J20" s="7">
        <v>3</v>
      </c>
      <c r="K20" s="7">
        <v>2</v>
      </c>
      <c r="L20" s="7">
        <v>0</v>
      </c>
      <c r="M20" s="7">
        <v>2</v>
      </c>
      <c r="N20" s="7">
        <v>2</v>
      </c>
      <c r="O20" s="7">
        <v>0</v>
      </c>
      <c r="P20" s="7" t="s">
        <v>483</v>
      </c>
      <c r="Q20" s="7" t="s">
        <v>483</v>
      </c>
      <c r="R20" s="7">
        <v>4</v>
      </c>
      <c r="S20" s="17"/>
      <c r="T20" s="423" t="s">
        <v>510</v>
      </c>
      <c r="U20" s="11" t="s">
        <v>214</v>
      </c>
      <c r="V20" s="11" t="s">
        <v>337</v>
      </c>
      <c r="W20" s="11" t="s">
        <v>206</v>
      </c>
      <c r="X20" s="405" t="s">
        <v>208</v>
      </c>
      <c r="Y20" s="11">
        <v>1</v>
      </c>
      <c r="Z20" s="11">
        <v>0</v>
      </c>
      <c r="AA20" s="11">
        <v>0</v>
      </c>
      <c r="AB20" s="13">
        <v>1</v>
      </c>
      <c r="AC20" s="11"/>
      <c r="AD20" s="11"/>
      <c r="AE20" s="11"/>
      <c r="AF20" s="13"/>
      <c r="AG20" s="11">
        <v>1</v>
      </c>
      <c r="AH20" s="11">
        <v>0</v>
      </c>
      <c r="AI20" s="11">
        <v>0</v>
      </c>
      <c r="AJ20" s="13">
        <v>1</v>
      </c>
      <c r="AK20" s="11"/>
      <c r="AL20" s="11"/>
      <c r="AM20" s="11"/>
      <c r="AN20" s="13"/>
    </row>
    <row r="21" spans="1:40" ht="17" thickBot="1" x14ac:dyDescent="0.25">
      <c r="A21" s="33"/>
      <c r="B21" s="34"/>
      <c r="C21" s="425" t="s">
        <v>40</v>
      </c>
      <c r="D21" s="426"/>
      <c r="E21" s="427"/>
      <c r="F21" s="38">
        <f t="shared" ref="F21:R21" si="0">SUM(F3+F4+F5+F6+F7+F8+F9+F10+F11+F12+F13+F14+F15+F16+F17+F18)</f>
        <v>485</v>
      </c>
      <c r="G21" s="38">
        <f t="shared" si="0"/>
        <v>447</v>
      </c>
      <c r="H21" s="38">
        <f t="shared" si="0"/>
        <v>10</v>
      </c>
      <c r="I21" s="38">
        <f t="shared" si="0"/>
        <v>9</v>
      </c>
      <c r="J21" s="38">
        <f t="shared" si="0"/>
        <v>71</v>
      </c>
      <c r="K21" s="38">
        <f t="shared" si="0"/>
        <v>39</v>
      </c>
      <c r="L21" s="38">
        <f t="shared" si="0"/>
        <v>2</v>
      </c>
      <c r="M21" s="38">
        <f t="shared" si="0"/>
        <v>9</v>
      </c>
      <c r="N21" s="38">
        <f t="shared" si="0"/>
        <v>17</v>
      </c>
      <c r="O21" s="38">
        <f t="shared" si="0"/>
        <v>2</v>
      </c>
      <c r="P21" s="38">
        <f t="shared" si="0"/>
        <v>11</v>
      </c>
      <c r="Q21" s="38">
        <f t="shared" si="0"/>
        <v>4</v>
      </c>
      <c r="R21" s="38">
        <f t="shared" si="0"/>
        <v>63</v>
      </c>
      <c r="S21" s="39"/>
      <c r="T21" s="39"/>
      <c r="U21" s="39"/>
      <c r="V21" s="39"/>
      <c r="W21" s="40"/>
      <c r="X21" s="41" t="s">
        <v>40</v>
      </c>
      <c r="Y21" s="38">
        <f t="shared" ref="Y21:AN21" si="1">Y3+Y4+Y5+Y6+Y7+Y8+Y9+Y10+Y11+Y12+Y13+Y14+Y15+Y16+Y17+Y18</f>
        <v>16</v>
      </c>
      <c r="Z21" s="38">
        <f t="shared" si="1"/>
        <v>6</v>
      </c>
      <c r="AA21" s="38">
        <f t="shared" si="1"/>
        <v>0</v>
      </c>
      <c r="AB21" s="38">
        <f t="shared" si="1"/>
        <v>10</v>
      </c>
      <c r="AC21" s="32">
        <f t="shared" si="1"/>
        <v>8</v>
      </c>
      <c r="AD21" s="32">
        <f t="shared" si="1"/>
        <v>3</v>
      </c>
      <c r="AE21" s="32">
        <f t="shared" si="1"/>
        <v>0</v>
      </c>
      <c r="AF21" s="32">
        <f t="shared" si="1"/>
        <v>5</v>
      </c>
      <c r="AG21" s="31">
        <f t="shared" si="1"/>
        <v>8</v>
      </c>
      <c r="AH21" s="31">
        <f t="shared" si="1"/>
        <v>3</v>
      </c>
      <c r="AI21" s="31">
        <f t="shared" si="1"/>
        <v>0</v>
      </c>
      <c r="AJ21" s="31">
        <f t="shared" si="1"/>
        <v>5</v>
      </c>
      <c r="AK21" s="38">
        <f t="shared" si="1"/>
        <v>0</v>
      </c>
      <c r="AL21" s="38">
        <f t="shared" si="1"/>
        <v>0</v>
      </c>
      <c r="AM21" s="38">
        <f t="shared" si="1"/>
        <v>0</v>
      </c>
      <c r="AN21" s="38">
        <f t="shared" si="1"/>
        <v>0</v>
      </c>
    </row>
    <row r="22" spans="1:40" ht="17" thickBot="1" x14ac:dyDescent="0.25">
      <c r="A22" s="33"/>
      <c r="B22" s="34"/>
      <c r="C22" s="35" t="s">
        <v>41</v>
      </c>
      <c r="D22" s="36"/>
      <c r="E22" s="37"/>
      <c r="F22" s="42">
        <f>F19+F20</f>
        <v>59</v>
      </c>
      <c r="G22" s="42">
        <f>G19+G20</f>
        <v>50</v>
      </c>
      <c r="H22" s="42" t="s">
        <v>483</v>
      </c>
      <c r="I22" s="42" t="s">
        <v>483</v>
      </c>
      <c r="J22" s="42">
        <f>J19+J20</f>
        <v>8</v>
      </c>
      <c r="K22" s="42">
        <f t="shared" ref="K22:O22" si="2">K19+K20</f>
        <v>5</v>
      </c>
      <c r="L22" s="42">
        <f t="shared" si="2"/>
        <v>0</v>
      </c>
      <c r="M22" s="42">
        <f t="shared" si="2"/>
        <v>3</v>
      </c>
      <c r="N22" s="42">
        <f t="shared" si="2"/>
        <v>3</v>
      </c>
      <c r="O22" s="42">
        <f t="shared" si="2"/>
        <v>0</v>
      </c>
      <c r="P22" s="42" t="s">
        <v>483</v>
      </c>
      <c r="Q22" s="42" t="s">
        <v>483</v>
      </c>
      <c r="R22" s="42">
        <f>R19+R20</f>
        <v>7</v>
      </c>
      <c r="S22" s="39"/>
      <c r="T22" s="39"/>
      <c r="U22" s="39"/>
      <c r="V22" s="39"/>
      <c r="W22" s="40"/>
      <c r="X22" s="41" t="s">
        <v>41</v>
      </c>
      <c r="Y22" s="38">
        <f>Y19+Y20</f>
        <v>2</v>
      </c>
      <c r="Z22" s="38">
        <f t="shared" ref="Z22:AB22" si="3">Z19+Z20</f>
        <v>1</v>
      </c>
      <c r="AA22" s="38">
        <f t="shared" si="3"/>
        <v>0</v>
      </c>
      <c r="AB22" s="38">
        <f t="shared" si="3"/>
        <v>1</v>
      </c>
      <c r="AC22" s="43">
        <f>AC19+AC20</f>
        <v>0</v>
      </c>
      <c r="AD22" s="43">
        <f t="shared" ref="AD22:AF22" si="4">AD19+AD20</f>
        <v>0</v>
      </c>
      <c r="AE22" s="43">
        <f t="shared" si="4"/>
        <v>0</v>
      </c>
      <c r="AF22" s="43">
        <f t="shared" si="4"/>
        <v>0</v>
      </c>
      <c r="AG22" s="44">
        <f>AG19+AG20</f>
        <v>2</v>
      </c>
      <c r="AH22" s="44">
        <f t="shared" ref="AH22:AJ22" si="5">AH19+AH20</f>
        <v>1</v>
      </c>
      <c r="AI22" s="44">
        <f t="shared" si="5"/>
        <v>0</v>
      </c>
      <c r="AJ22" s="44">
        <f t="shared" si="5"/>
        <v>1</v>
      </c>
      <c r="AK22" s="42">
        <f>AK19+AK20</f>
        <v>0</v>
      </c>
      <c r="AL22" s="42">
        <f t="shared" ref="AL22:AN22" si="6">AL19+AL20</f>
        <v>0</v>
      </c>
      <c r="AM22" s="42">
        <f t="shared" si="6"/>
        <v>0</v>
      </c>
      <c r="AN22" s="42">
        <f t="shared" si="6"/>
        <v>0</v>
      </c>
    </row>
    <row r="23" spans="1:40" ht="17" thickBot="1" x14ac:dyDescent="0.25">
      <c r="A23" s="33"/>
      <c r="B23" s="34"/>
      <c r="C23" s="425" t="s">
        <v>42</v>
      </c>
      <c r="D23" s="431"/>
      <c r="E23" s="432"/>
      <c r="F23" s="42">
        <f>SUM(F21+F22)</f>
        <v>544</v>
      </c>
      <c r="G23" s="42">
        <f t="shared" ref="G23:R23" si="7">SUM(G21+G22)</f>
        <v>497</v>
      </c>
      <c r="H23" s="42">
        <f>H21</f>
        <v>10</v>
      </c>
      <c r="I23" s="42">
        <f>I21</f>
        <v>9</v>
      </c>
      <c r="J23" s="42">
        <f t="shared" si="7"/>
        <v>79</v>
      </c>
      <c r="K23" s="42">
        <f t="shared" si="7"/>
        <v>44</v>
      </c>
      <c r="L23" s="42">
        <f t="shared" si="7"/>
        <v>2</v>
      </c>
      <c r="M23" s="42">
        <f t="shared" si="7"/>
        <v>12</v>
      </c>
      <c r="N23" s="42">
        <f t="shared" si="7"/>
        <v>20</v>
      </c>
      <c r="O23" s="42">
        <f t="shared" si="7"/>
        <v>2</v>
      </c>
      <c r="P23" s="42">
        <f>P21</f>
        <v>11</v>
      </c>
      <c r="Q23" s="42">
        <f>Q21</f>
        <v>4</v>
      </c>
      <c r="R23" s="42">
        <f t="shared" si="7"/>
        <v>70</v>
      </c>
      <c r="S23" s="39"/>
      <c r="T23" s="39"/>
      <c r="U23" s="39"/>
      <c r="V23" s="39"/>
      <c r="W23" s="40"/>
      <c r="X23" s="41" t="s">
        <v>42</v>
      </c>
      <c r="Y23" s="38">
        <f t="shared" ref="Y23:AN23" si="8">SUM(Y21+Y22)</f>
        <v>18</v>
      </c>
      <c r="Z23" s="42">
        <f t="shared" si="8"/>
        <v>7</v>
      </c>
      <c r="AA23" s="42">
        <f t="shared" si="8"/>
        <v>0</v>
      </c>
      <c r="AB23" s="42">
        <f t="shared" si="8"/>
        <v>11</v>
      </c>
      <c r="AC23" s="43">
        <f t="shared" si="8"/>
        <v>8</v>
      </c>
      <c r="AD23" s="43">
        <f t="shared" si="8"/>
        <v>3</v>
      </c>
      <c r="AE23" s="43">
        <f t="shared" si="8"/>
        <v>0</v>
      </c>
      <c r="AF23" s="43">
        <f t="shared" si="8"/>
        <v>5</v>
      </c>
      <c r="AG23" s="44">
        <f t="shared" si="8"/>
        <v>10</v>
      </c>
      <c r="AH23" s="44">
        <f t="shared" si="8"/>
        <v>4</v>
      </c>
      <c r="AI23" s="44">
        <f t="shared" si="8"/>
        <v>0</v>
      </c>
      <c r="AJ23" s="44">
        <f t="shared" si="8"/>
        <v>6</v>
      </c>
      <c r="AK23" s="42">
        <f t="shared" si="8"/>
        <v>0</v>
      </c>
      <c r="AL23" s="42">
        <f t="shared" si="8"/>
        <v>0</v>
      </c>
      <c r="AM23" s="42">
        <f t="shared" si="8"/>
        <v>0</v>
      </c>
      <c r="AN23" s="42">
        <f t="shared" si="8"/>
        <v>0</v>
      </c>
    </row>
    <row r="25" spans="1:40" x14ac:dyDescent="0.2">
      <c r="A25" s="178" t="s">
        <v>429</v>
      </c>
    </row>
  </sheetData>
  <mergeCells count="13">
    <mergeCell ref="AP1:AQ1"/>
    <mergeCell ref="C23:E23"/>
    <mergeCell ref="A1:D1"/>
    <mergeCell ref="E1:G1"/>
    <mergeCell ref="H1:I1"/>
    <mergeCell ref="J1:M1"/>
    <mergeCell ref="Y1:AB1"/>
    <mergeCell ref="AC1:AF1"/>
    <mergeCell ref="AG1:AJ1"/>
    <mergeCell ref="AK1:AN1"/>
    <mergeCell ref="C21:E21"/>
    <mergeCell ref="N1:O1"/>
    <mergeCell ref="P1:R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A442E-2C18-D24E-98CD-0F54D16CE1ED}">
  <dimension ref="A1:AQ24"/>
  <sheetViews>
    <sheetView zoomScale="80" zoomScaleNormal="80" workbookViewId="0">
      <selection sqref="A1:D1"/>
    </sheetView>
  </sheetViews>
  <sheetFormatPr baseColWidth="10" defaultColWidth="11.5" defaultRowHeight="16" x14ac:dyDescent="0.2"/>
  <cols>
    <col min="1" max="1" width="6.5" bestFit="1" customWidth="1"/>
    <col min="2" max="2" width="6" bestFit="1" customWidth="1"/>
    <col min="3" max="3" width="12" customWidth="1"/>
    <col min="4" max="4" width="4.83203125" customWidth="1"/>
    <col min="5" max="7" width="4.6640625" customWidth="1"/>
    <col min="8" max="18" width="4.83203125" customWidth="1"/>
    <col min="19" max="19" width="7" customWidth="1"/>
    <col min="20" max="20" width="6.83203125" customWidth="1"/>
    <col min="21" max="21" width="24" bestFit="1" customWidth="1"/>
    <col min="22" max="23" width="29" bestFit="1" customWidth="1"/>
    <col min="24" max="24" width="24" bestFit="1" customWidth="1"/>
    <col min="25" max="40" width="4.83203125" customWidth="1"/>
    <col min="42" max="42" width="14.5" bestFit="1" customWidth="1"/>
  </cols>
  <sheetData>
    <row r="1" spans="1:43" ht="17" thickBot="1" x14ac:dyDescent="0.25">
      <c r="A1" s="470" t="s">
        <v>72</v>
      </c>
      <c r="B1" s="471"/>
      <c r="C1" s="471"/>
      <c r="D1" s="472"/>
      <c r="E1" s="473" t="s">
        <v>0</v>
      </c>
      <c r="F1" s="474"/>
      <c r="G1" s="475"/>
      <c r="H1" s="473" t="s">
        <v>1</v>
      </c>
      <c r="I1" s="475"/>
      <c r="J1" s="476" t="s">
        <v>2</v>
      </c>
      <c r="K1" s="477"/>
      <c r="L1" s="477"/>
      <c r="M1" s="478"/>
      <c r="N1" s="476" t="s">
        <v>3</v>
      </c>
      <c r="O1" s="478"/>
      <c r="P1" s="476" t="s">
        <v>4</v>
      </c>
      <c r="Q1" s="477"/>
      <c r="R1" s="478"/>
      <c r="S1" s="278" t="s">
        <v>5</v>
      </c>
      <c r="T1" s="278" t="s">
        <v>6</v>
      </c>
      <c r="U1" s="279" t="s">
        <v>7</v>
      </c>
      <c r="V1" s="280" t="s">
        <v>8</v>
      </c>
      <c r="W1" s="280" t="s">
        <v>9</v>
      </c>
      <c r="X1" s="281" t="s">
        <v>10</v>
      </c>
      <c r="Y1" s="479" t="s">
        <v>11</v>
      </c>
      <c r="Z1" s="480"/>
      <c r="AA1" s="480"/>
      <c r="AB1" s="481"/>
      <c r="AC1" s="479" t="s">
        <v>12</v>
      </c>
      <c r="AD1" s="480"/>
      <c r="AE1" s="480"/>
      <c r="AF1" s="481"/>
      <c r="AG1" s="479" t="s">
        <v>13</v>
      </c>
      <c r="AH1" s="480"/>
      <c r="AI1" s="480"/>
      <c r="AJ1" s="481"/>
      <c r="AK1" s="479" t="s">
        <v>14</v>
      </c>
      <c r="AL1" s="480"/>
      <c r="AM1" s="480"/>
      <c r="AN1" s="481"/>
      <c r="AP1" s="469" t="s">
        <v>195</v>
      </c>
      <c r="AQ1" s="469"/>
    </row>
    <row r="2" spans="1:43" ht="17" thickBot="1" x14ac:dyDescent="0.25">
      <c r="A2" s="282" t="s">
        <v>15</v>
      </c>
      <c r="B2" s="283" t="s">
        <v>16</v>
      </c>
      <c r="C2" s="284" t="s">
        <v>17</v>
      </c>
      <c r="D2" s="284" t="s">
        <v>18</v>
      </c>
      <c r="E2" s="285" t="s">
        <v>19</v>
      </c>
      <c r="F2" s="285" t="s">
        <v>20</v>
      </c>
      <c r="G2" s="285" t="s">
        <v>21</v>
      </c>
      <c r="H2" s="286" t="s">
        <v>22</v>
      </c>
      <c r="I2" s="286" t="s">
        <v>23</v>
      </c>
      <c r="J2" s="286" t="s">
        <v>24</v>
      </c>
      <c r="K2" s="286" t="s">
        <v>25</v>
      </c>
      <c r="L2" s="286" t="s">
        <v>26</v>
      </c>
      <c r="M2" s="286" t="s">
        <v>27</v>
      </c>
      <c r="N2" s="286" t="s">
        <v>28</v>
      </c>
      <c r="O2" s="286" t="s">
        <v>19</v>
      </c>
      <c r="P2" s="286" t="s">
        <v>22</v>
      </c>
      <c r="Q2" s="286" t="s">
        <v>23</v>
      </c>
      <c r="R2" s="286" t="s">
        <v>24</v>
      </c>
      <c r="S2" s="287"/>
      <c r="T2" s="288"/>
      <c r="U2" s="289"/>
      <c r="V2" s="287"/>
      <c r="W2" s="290"/>
      <c r="X2" s="291"/>
      <c r="Y2" s="292" t="s">
        <v>29</v>
      </c>
      <c r="Z2" s="292" t="s">
        <v>30</v>
      </c>
      <c r="AA2" s="292" t="s">
        <v>26</v>
      </c>
      <c r="AB2" s="292" t="s">
        <v>31</v>
      </c>
      <c r="AC2" s="292" t="s">
        <v>29</v>
      </c>
      <c r="AD2" s="292" t="s">
        <v>30</v>
      </c>
      <c r="AE2" s="292" t="s">
        <v>26</v>
      </c>
      <c r="AF2" s="292" t="s">
        <v>31</v>
      </c>
      <c r="AG2" s="292" t="s">
        <v>29</v>
      </c>
      <c r="AH2" s="292" t="s">
        <v>30</v>
      </c>
      <c r="AI2" s="292" t="s">
        <v>26</v>
      </c>
      <c r="AJ2" s="292" t="s">
        <v>31</v>
      </c>
      <c r="AK2" s="292" t="s">
        <v>29</v>
      </c>
      <c r="AL2" s="292" t="s">
        <v>30</v>
      </c>
      <c r="AM2" s="292" t="s">
        <v>26</v>
      </c>
      <c r="AN2" s="293" t="s">
        <v>31</v>
      </c>
      <c r="AP2" s="333" t="s">
        <v>187</v>
      </c>
      <c r="AQ2" s="329">
        <f>Y22+79</f>
        <v>96</v>
      </c>
    </row>
    <row r="3" spans="1:43" ht="17" thickBot="1" x14ac:dyDescent="0.25">
      <c r="A3" s="66" t="s">
        <v>90</v>
      </c>
      <c r="B3" s="67" t="s">
        <v>44</v>
      </c>
      <c r="C3" s="68" t="s">
        <v>55</v>
      </c>
      <c r="D3" s="69" t="s">
        <v>47</v>
      </c>
      <c r="E3" s="69" t="s">
        <v>30</v>
      </c>
      <c r="F3" s="69">
        <v>22</v>
      </c>
      <c r="G3" s="70">
        <v>15</v>
      </c>
      <c r="H3" s="71">
        <v>0</v>
      </c>
      <c r="I3" s="72">
        <v>0</v>
      </c>
      <c r="J3" s="72">
        <v>3</v>
      </c>
      <c r="K3" s="72">
        <v>2</v>
      </c>
      <c r="L3" s="72">
        <v>0</v>
      </c>
      <c r="M3" s="72">
        <v>1</v>
      </c>
      <c r="N3" s="72">
        <v>0</v>
      </c>
      <c r="O3" s="72">
        <v>0</v>
      </c>
      <c r="P3" s="72">
        <v>0</v>
      </c>
      <c r="Q3" s="72">
        <v>1</v>
      </c>
      <c r="R3" s="72">
        <v>2</v>
      </c>
      <c r="S3" s="73"/>
      <c r="T3" s="80" t="s">
        <v>221</v>
      </c>
      <c r="U3" s="75" t="s">
        <v>201</v>
      </c>
      <c r="V3" s="76" t="s">
        <v>204</v>
      </c>
      <c r="W3" s="77" t="s">
        <v>202</v>
      </c>
      <c r="X3" s="76" t="s">
        <v>203</v>
      </c>
      <c r="Y3" s="76">
        <v>1</v>
      </c>
      <c r="Z3" s="76">
        <v>1</v>
      </c>
      <c r="AA3" s="76">
        <v>0</v>
      </c>
      <c r="AB3" s="78">
        <v>0</v>
      </c>
      <c r="AC3" s="76">
        <v>1</v>
      </c>
      <c r="AD3" s="76">
        <v>1</v>
      </c>
      <c r="AE3" s="76">
        <v>0</v>
      </c>
      <c r="AF3" s="78">
        <v>0</v>
      </c>
      <c r="AG3" s="76"/>
      <c r="AH3" s="76"/>
      <c r="AI3" s="76"/>
      <c r="AJ3" s="78"/>
      <c r="AK3" s="76"/>
      <c r="AL3" s="76"/>
      <c r="AM3" s="76"/>
      <c r="AN3" s="78"/>
      <c r="AP3" s="333" t="s">
        <v>188</v>
      </c>
      <c r="AQ3" s="329">
        <f>Z22+29</f>
        <v>43</v>
      </c>
    </row>
    <row r="4" spans="1:43" ht="17" thickBot="1" x14ac:dyDescent="0.25">
      <c r="A4" s="1" t="s">
        <v>91</v>
      </c>
      <c r="B4" s="2" t="s">
        <v>44</v>
      </c>
      <c r="C4" s="3" t="s">
        <v>63</v>
      </c>
      <c r="D4" s="4" t="s">
        <v>21</v>
      </c>
      <c r="E4" s="4" t="s">
        <v>30</v>
      </c>
      <c r="F4" s="4">
        <v>27</v>
      </c>
      <c r="G4" s="5">
        <v>12</v>
      </c>
      <c r="H4" s="6">
        <v>0</v>
      </c>
      <c r="I4" s="7">
        <v>0</v>
      </c>
      <c r="J4" s="7">
        <v>3</v>
      </c>
      <c r="K4" s="4">
        <v>3</v>
      </c>
      <c r="L4" s="7">
        <v>0</v>
      </c>
      <c r="M4" s="4">
        <v>2</v>
      </c>
      <c r="N4" s="7">
        <v>0</v>
      </c>
      <c r="O4" s="7">
        <v>0</v>
      </c>
      <c r="P4" s="7">
        <v>0</v>
      </c>
      <c r="Q4" s="4">
        <v>0</v>
      </c>
      <c r="R4" s="7">
        <v>2</v>
      </c>
      <c r="S4" s="8"/>
      <c r="T4" s="15" t="s">
        <v>263</v>
      </c>
      <c r="U4" s="10" t="s">
        <v>199</v>
      </c>
      <c r="V4" s="11" t="s">
        <v>206</v>
      </c>
      <c r="W4" s="11" t="s">
        <v>212</v>
      </c>
      <c r="X4" s="12" t="s">
        <v>262</v>
      </c>
      <c r="Y4" s="11">
        <v>1</v>
      </c>
      <c r="Z4" s="11">
        <v>1</v>
      </c>
      <c r="AA4" s="11">
        <v>0</v>
      </c>
      <c r="AB4" s="13">
        <v>0</v>
      </c>
      <c r="AC4" s="11"/>
      <c r="AD4" s="11"/>
      <c r="AE4" s="11"/>
      <c r="AF4" s="13"/>
      <c r="AG4" s="11">
        <v>1</v>
      </c>
      <c r="AH4" s="11">
        <v>1</v>
      </c>
      <c r="AI4" s="11">
        <v>0</v>
      </c>
      <c r="AJ4" s="13">
        <v>0</v>
      </c>
      <c r="AK4" s="11"/>
      <c r="AL4" s="11"/>
      <c r="AM4" s="11"/>
      <c r="AN4" s="13"/>
      <c r="AP4" s="333" t="s">
        <v>189</v>
      </c>
      <c r="AQ4" s="329">
        <f>AA22</f>
        <v>0</v>
      </c>
    </row>
    <row r="5" spans="1:43" ht="17" thickBot="1" x14ac:dyDescent="0.25">
      <c r="A5" s="66" t="s">
        <v>50</v>
      </c>
      <c r="B5" s="67" t="s">
        <v>44</v>
      </c>
      <c r="C5" s="68" t="s">
        <v>52</v>
      </c>
      <c r="D5" s="69" t="s">
        <v>47</v>
      </c>
      <c r="E5" s="69" t="s">
        <v>30</v>
      </c>
      <c r="F5" s="69">
        <v>30</v>
      </c>
      <c r="G5" s="70">
        <v>19</v>
      </c>
      <c r="H5" s="79">
        <v>1</v>
      </c>
      <c r="I5" s="70">
        <v>0</v>
      </c>
      <c r="J5" s="72">
        <v>4</v>
      </c>
      <c r="K5" s="72">
        <v>1</v>
      </c>
      <c r="L5" s="72">
        <v>0</v>
      </c>
      <c r="M5" s="72">
        <v>2</v>
      </c>
      <c r="N5" s="72">
        <v>1</v>
      </c>
      <c r="O5" s="72">
        <v>0</v>
      </c>
      <c r="P5" s="69">
        <v>0</v>
      </c>
      <c r="Q5" s="72">
        <v>0</v>
      </c>
      <c r="R5" s="69">
        <v>1</v>
      </c>
      <c r="S5" s="73"/>
      <c r="T5" s="80" t="s">
        <v>274</v>
      </c>
      <c r="U5" s="75" t="s">
        <v>258</v>
      </c>
      <c r="V5" s="76" t="s">
        <v>276</v>
      </c>
      <c r="W5" s="76" t="s">
        <v>214</v>
      </c>
      <c r="X5" s="77" t="s">
        <v>275</v>
      </c>
      <c r="Y5" s="76">
        <v>1</v>
      </c>
      <c r="Z5" s="76">
        <v>1</v>
      </c>
      <c r="AA5" s="76">
        <v>0</v>
      </c>
      <c r="AB5" s="78">
        <v>0</v>
      </c>
      <c r="AC5" s="76">
        <v>1</v>
      </c>
      <c r="AD5" s="76">
        <v>1</v>
      </c>
      <c r="AE5" s="76">
        <v>0</v>
      </c>
      <c r="AF5" s="78">
        <v>0</v>
      </c>
      <c r="AG5" s="76"/>
      <c r="AH5" s="76"/>
      <c r="AI5" s="76"/>
      <c r="AJ5" s="78"/>
      <c r="AK5" s="76"/>
      <c r="AL5" s="76"/>
      <c r="AM5" s="76"/>
      <c r="AN5" s="78"/>
      <c r="AP5" s="333" t="s">
        <v>190</v>
      </c>
      <c r="AQ5" s="329">
        <f>AB22+50</f>
        <v>53</v>
      </c>
    </row>
    <row r="6" spans="1:43" ht="17" thickBot="1" x14ac:dyDescent="0.25">
      <c r="A6" s="1" t="s">
        <v>33</v>
      </c>
      <c r="B6" s="2" t="s">
        <v>44</v>
      </c>
      <c r="C6" s="3" t="s">
        <v>60</v>
      </c>
      <c r="D6" s="4" t="s">
        <v>21</v>
      </c>
      <c r="E6" s="4" t="s">
        <v>30</v>
      </c>
      <c r="F6" s="4">
        <v>42</v>
      </c>
      <c r="G6" s="5">
        <v>40</v>
      </c>
      <c r="H6" s="5">
        <v>1</v>
      </c>
      <c r="I6" s="7">
        <v>0</v>
      </c>
      <c r="J6" s="4">
        <v>5</v>
      </c>
      <c r="K6" s="4">
        <v>3</v>
      </c>
      <c r="L6" s="7">
        <v>0</v>
      </c>
      <c r="M6" s="7">
        <v>3</v>
      </c>
      <c r="N6" s="7">
        <v>2</v>
      </c>
      <c r="O6" s="7">
        <v>0</v>
      </c>
      <c r="P6" s="7">
        <v>1</v>
      </c>
      <c r="Q6" s="4">
        <v>1</v>
      </c>
      <c r="R6" s="7">
        <v>6</v>
      </c>
      <c r="S6" s="8"/>
      <c r="T6" s="15" t="s">
        <v>299</v>
      </c>
      <c r="U6" s="11" t="s">
        <v>249</v>
      </c>
      <c r="V6" s="11" t="s">
        <v>214</v>
      </c>
      <c r="W6" s="11" t="s">
        <v>207</v>
      </c>
      <c r="X6" s="10" t="s">
        <v>293</v>
      </c>
      <c r="Y6" s="11">
        <v>1</v>
      </c>
      <c r="Z6" s="11">
        <v>1</v>
      </c>
      <c r="AA6" s="11">
        <v>0</v>
      </c>
      <c r="AB6" s="13">
        <v>0</v>
      </c>
      <c r="AC6" s="11"/>
      <c r="AD6" s="11"/>
      <c r="AE6" s="11"/>
      <c r="AF6" s="13"/>
      <c r="AG6" s="11">
        <v>1</v>
      </c>
      <c r="AH6" s="11">
        <v>1</v>
      </c>
      <c r="AI6" s="11">
        <v>0</v>
      </c>
      <c r="AJ6" s="13">
        <v>0</v>
      </c>
      <c r="AK6" s="11"/>
      <c r="AL6" s="11"/>
      <c r="AM6" s="11"/>
      <c r="AN6" s="13"/>
      <c r="AP6" s="333" t="s">
        <v>191</v>
      </c>
      <c r="AQ6" s="329">
        <f>F22+1877</f>
        <v>2377</v>
      </c>
    </row>
    <row r="7" spans="1:43" ht="17" thickBot="1" x14ac:dyDescent="0.25">
      <c r="A7" s="1" t="s">
        <v>34</v>
      </c>
      <c r="B7" s="2" t="s">
        <v>44</v>
      </c>
      <c r="C7" s="3" t="s">
        <v>51</v>
      </c>
      <c r="D7" s="4" t="s">
        <v>21</v>
      </c>
      <c r="E7" s="7" t="s">
        <v>30</v>
      </c>
      <c r="F7" s="4">
        <v>30</v>
      </c>
      <c r="G7" s="5">
        <v>27</v>
      </c>
      <c r="H7" s="6">
        <v>1</v>
      </c>
      <c r="I7" s="4">
        <v>0</v>
      </c>
      <c r="J7" s="7">
        <v>4</v>
      </c>
      <c r="K7" s="7">
        <v>2</v>
      </c>
      <c r="L7" s="7">
        <v>0</v>
      </c>
      <c r="M7" s="7">
        <v>2</v>
      </c>
      <c r="N7" s="7">
        <v>1</v>
      </c>
      <c r="O7" s="7">
        <v>0</v>
      </c>
      <c r="P7" s="7">
        <v>1</v>
      </c>
      <c r="Q7" s="7">
        <v>1</v>
      </c>
      <c r="R7" s="7">
        <v>5</v>
      </c>
      <c r="S7" s="8"/>
      <c r="T7" s="14" t="s">
        <v>316</v>
      </c>
      <c r="U7" s="10" t="s">
        <v>294</v>
      </c>
      <c r="V7" s="11" t="s">
        <v>242</v>
      </c>
      <c r="W7" s="11" t="s">
        <v>214</v>
      </c>
      <c r="X7" s="12" t="s">
        <v>315</v>
      </c>
      <c r="Y7" s="11">
        <v>1</v>
      </c>
      <c r="Z7" s="11">
        <v>1</v>
      </c>
      <c r="AA7" s="11">
        <v>0</v>
      </c>
      <c r="AB7" s="13">
        <v>0</v>
      </c>
      <c r="AC7" s="11"/>
      <c r="AD7" s="11"/>
      <c r="AE7" s="11"/>
      <c r="AF7" s="13"/>
      <c r="AG7" s="11">
        <v>1</v>
      </c>
      <c r="AH7" s="11">
        <v>1</v>
      </c>
      <c r="AI7" s="11">
        <v>0</v>
      </c>
      <c r="AJ7" s="13">
        <v>0</v>
      </c>
      <c r="AK7" s="11"/>
      <c r="AL7" s="11"/>
      <c r="AM7" s="11"/>
      <c r="AN7" s="13"/>
      <c r="AP7" s="333" t="s">
        <v>192</v>
      </c>
      <c r="AQ7" s="329">
        <f>G22+2309</f>
        <v>2690</v>
      </c>
    </row>
    <row r="8" spans="1:43" ht="17" thickBot="1" x14ac:dyDescent="0.25">
      <c r="A8" s="66" t="s">
        <v>56</v>
      </c>
      <c r="B8" s="67" t="s">
        <v>44</v>
      </c>
      <c r="C8" s="68" t="s">
        <v>46</v>
      </c>
      <c r="D8" s="69" t="s">
        <v>47</v>
      </c>
      <c r="E8" s="69" t="s">
        <v>31</v>
      </c>
      <c r="F8" s="69">
        <v>35</v>
      </c>
      <c r="G8" s="70">
        <v>47</v>
      </c>
      <c r="H8" s="71">
        <v>1</v>
      </c>
      <c r="I8" s="69">
        <v>0</v>
      </c>
      <c r="J8" s="72">
        <v>6</v>
      </c>
      <c r="K8" s="72">
        <v>1</v>
      </c>
      <c r="L8" s="72">
        <v>0</v>
      </c>
      <c r="M8" s="72">
        <v>1</v>
      </c>
      <c r="N8" s="72">
        <v>0</v>
      </c>
      <c r="O8" s="72">
        <v>0</v>
      </c>
      <c r="P8" s="69">
        <v>1</v>
      </c>
      <c r="Q8" s="72">
        <v>0</v>
      </c>
      <c r="R8" s="72">
        <v>7</v>
      </c>
      <c r="S8" s="73"/>
      <c r="T8" s="74" t="s">
        <v>338</v>
      </c>
      <c r="U8" s="75" t="s">
        <v>205</v>
      </c>
      <c r="V8" s="76" t="s">
        <v>207</v>
      </c>
      <c r="W8" s="76" t="s">
        <v>214</v>
      </c>
      <c r="X8" s="77" t="s">
        <v>275</v>
      </c>
      <c r="Y8" s="76">
        <v>1</v>
      </c>
      <c r="Z8" s="76">
        <v>0</v>
      </c>
      <c r="AA8" s="76">
        <v>0</v>
      </c>
      <c r="AB8" s="78">
        <v>1</v>
      </c>
      <c r="AC8" s="76">
        <v>1</v>
      </c>
      <c r="AD8" s="76">
        <v>0</v>
      </c>
      <c r="AE8" s="76">
        <v>0</v>
      </c>
      <c r="AF8" s="78">
        <v>1</v>
      </c>
      <c r="AG8" s="76"/>
      <c r="AH8" s="76"/>
      <c r="AI8" s="76"/>
      <c r="AJ8" s="78"/>
      <c r="AK8" s="76"/>
      <c r="AL8" s="76"/>
      <c r="AM8" s="76"/>
      <c r="AN8" s="78"/>
      <c r="AP8" s="333" t="s">
        <v>193</v>
      </c>
      <c r="AQ8" s="329">
        <f>J22+249</f>
        <v>318</v>
      </c>
    </row>
    <row r="9" spans="1:43" ht="17" thickBot="1" x14ac:dyDescent="0.25">
      <c r="A9" s="1" t="s">
        <v>35</v>
      </c>
      <c r="B9" s="2" t="s">
        <v>44</v>
      </c>
      <c r="C9" s="3" t="s">
        <v>53</v>
      </c>
      <c r="D9" s="4" t="s">
        <v>21</v>
      </c>
      <c r="E9" s="7" t="s">
        <v>30</v>
      </c>
      <c r="F9" s="4">
        <v>38</v>
      </c>
      <c r="G9" s="5">
        <v>17</v>
      </c>
      <c r="H9" s="6">
        <v>1</v>
      </c>
      <c r="I9" s="7">
        <v>0</v>
      </c>
      <c r="J9" s="7">
        <v>5</v>
      </c>
      <c r="K9" s="7">
        <v>5</v>
      </c>
      <c r="L9" s="7">
        <v>0</v>
      </c>
      <c r="M9" s="7">
        <v>1</v>
      </c>
      <c r="N9" s="7">
        <v>0</v>
      </c>
      <c r="O9" s="7">
        <v>0</v>
      </c>
      <c r="P9" s="7">
        <v>0</v>
      </c>
      <c r="Q9" s="7">
        <v>0</v>
      </c>
      <c r="R9" s="7">
        <v>2</v>
      </c>
      <c r="S9" s="8"/>
      <c r="T9" s="15" t="s">
        <v>353</v>
      </c>
      <c r="U9" s="10" t="s">
        <v>214</v>
      </c>
      <c r="V9" s="11" t="s">
        <v>337</v>
      </c>
      <c r="W9" s="11" t="s">
        <v>276</v>
      </c>
      <c r="X9" s="12" t="s">
        <v>295</v>
      </c>
      <c r="Y9" s="11">
        <v>1</v>
      </c>
      <c r="Z9" s="11">
        <v>1</v>
      </c>
      <c r="AA9" s="11">
        <v>0</v>
      </c>
      <c r="AB9" s="13">
        <v>0</v>
      </c>
      <c r="AC9" s="11"/>
      <c r="AD9" s="11"/>
      <c r="AE9" s="11"/>
      <c r="AF9" s="13"/>
      <c r="AG9" s="11">
        <v>1</v>
      </c>
      <c r="AH9" s="11">
        <v>1</v>
      </c>
      <c r="AI9" s="11">
        <v>0</v>
      </c>
      <c r="AJ9" s="13">
        <v>0</v>
      </c>
      <c r="AK9" s="11"/>
      <c r="AL9" s="11"/>
      <c r="AM9" s="11"/>
      <c r="AN9" s="13"/>
      <c r="AP9" s="333" t="s">
        <v>194</v>
      </c>
      <c r="AQ9" s="329">
        <f>R22+312</f>
        <v>364</v>
      </c>
    </row>
    <row r="10" spans="1:43" ht="17" thickBot="1" x14ac:dyDescent="0.25">
      <c r="A10" s="66" t="s">
        <v>93</v>
      </c>
      <c r="B10" s="67" t="s">
        <v>44</v>
      </c>
      <c r="C10" s="68" t="s">
        <v>66</v>
      </c>
      <c r="D10" s="69" t="s">
        <v>47</v>
      </c>
      <c r="E10" s="69" t="s">
        <v>30</v>
      </c>
      <c r="F10" s="69">
        <v>33</v>
      </c>
      <c r="G10" s="70">
        <v>0</v>
      </c>
      <c r="H10" s="71">
        <v>1</v>
      </c>
      <c r="I10" s="72">
        <v>0</v>
      </c>
      <c r="J10" s="72">
        <v>5</v>
      </c>
      <c r="K10" s="72">
        <v>3</v>
      </c>
      <c r="L10" s="72">
        <v>0</v>
      </c>
      <c r="M10" s="72">
        <v>0</v>
      </c>
      <c r="N10" s="69">
        <v>0</v>
      </c>
      <c r="O10" s="72">
        <v>1</v>
      </c>
      <c r="P10" s="72">
        <v>0</v>
      </c>
      <c r="Q10" s="69">
        <v>0</v>
      </c>
      <c r="R10" s="72">
        <v>0</v>
      </c>
      <c r="S10" s="73"/>
      <c r="T10" s="80" t="s">
        <v>363</v>
      </c>
      <c r="U10" s="75" t="s">
        <v>197</v>
      </c>
      <c r="V10" s="76" t="s">
        <v>297</v>
      </c>
      <c r="W10" s="76" t="s">
        <v>199</v>
      </c>
      <c r="X10" s="77" t="s">
        <v>200</v>
      </c>
      <c r="Y10" s="76">
        <v>1</v>
      </c>
      <c r="Z10" s="76">
        <v>1</v>
      </c>
      <c r="AA10" s="76">
        <v>0</v>
      </c>
      <c r="AB10" s="78">
        <v>0</v>
      </c>
      <c r="AC10" s="76">
        <v>1</v>
      </c>
      <c r="AD10" s="76">
        <v>1</v>
      </c>
      <c r="AE10" s="76">
        <v>0</v>
      </c>
      <c r="AF10" s="78">
        <v>0</v>
      </c>
      <c r="AG10" s="76"/>
      <c r="AH10" s="76"/>
      <c r="AI10" s="76"/>
      <c r="AJ10" s="78"/>
      <c r="AK10" s="76"/>
      <c r="AL10" s="76"/>
      <c r="AM10" s="76"/>
      <c r="AN10" s="78"/>
    </row>
    <row r="11" spans="1:43" ht="17" thickBot="1" x14ac:dyDescent="0.25">
      <c r="A11" s="1" t="s">
        <v>85</v>
      </c>
      <c r="B11" s="2" t="s">
        <v>44</v>
      </c>
      <c r="C11" s="3" t="s">
        <v>55</v>
      </c>
      <c r="D11" s="4" t="s">
        <v>21</v>
      </c>
      <c r="E11" s="4" t="s">
        <v>30</v>
      </c>
      <c r="F11" s="4">
        <v>29</v>
      </c>
      <c r="G11" s="5">
        <v>24</v>
      </c>
      <c r="H11" s="6">
        <v>1</v>
      </c>
      <c r="I11" s="7">
        <v>0</v>
      </c>
      <c r="J11" s="7">
        <v>4</v>
      </c>
      <c r="K11" s="7">
        <v>3</v>
      </c>
      <c r="L11" s="7">
        <v>0</v>
      </c>
      <c r="M11" s="7">
        <v>1</v>
      </c>
      <c r="N11" s="7">
        <v>2</v>
      </c>
      <c r="O11" s="7">
        <v>0</v>
      </c>
      <c r="P11" s="7">
        <v>0</v>
      </c>
      <c r="Q11" s="4">
        <v>1</v>
      </c>
      <c r="R11" s="7">
        <v>3</v>
      </c>
      <c r="S11" s="8"/>
      <c r="T11" s="15" t="s">
        <v>378</v>
      </c>
      <c r="U11" s="10" t="s">
        <v>258</v>
      </c>
      <c r="V11" s="11" t="s">
        <v>204</v>
      </c>
      <c r="W11" s="11" t="s">
        <v>208</v>
      </c>
      <c r="X11" s="12" t="s">
        <v>251</v>
      </c>
      <c r="Y11" s="11">
        <v>1</v>
      </c>
      <c r="Z11" s="11">
        <v>1</v>
      </c>
      <c r="AA11" s="11">
        <v>0</v>
      </c>
      <c r="AB11" s="13">
        <v>0</v>
      </c>
      <c r="AC11" s="11"/>
      <c r="AD11" s="11"/>
      <c r="AE11" s="11"/>
      <c r="AF11" s="13"/>
      <c r="AG11" s="11">
        <v>1</v>
      </c>
      <c r="AH11" s="11">
        <v>1</v>
      </c>
      <c r="AI11" s="11">
        <v>0</v>
      </c>
      <c r="AJ11" s="13">
        <v>0</v>
      </c>
      <c r="AK11" s="11"/>
      <c r="AL11" s="11"/>
      <c r="AM11" s="11"/>
      <c r="AN11" s="13"/>
    </row>
    <row r="12" spans="1:43" ht="17" thickBot="1" x14ac:dyDescent="0.25">
      <c r="A12" s="16" t="s">
        <v>36</v>
      </c>
      <c r="B12" s="2" t="s">
        <v>44</v>
      </c>
      <c r="C12" s="3" t="s">
        <v>83</v>
      </c>
      <c r="D12" s="4" t="s">
        <v>21</v>
      </c>
      <c r="E12" s="4" t="s">
        <v>30</v>
      </c>
      <c r="F12" s="4">
        <v>38</v>
      </c>
      <c r="G12" s="5">
        <v>15</v>
      </c>
      <c r="H12" s="6">
        <v>1</v>
      </c>
      <c r="I12" s="7">
        <v>0</v>
      </c>
      <c r="J12" s="7">
        <v>6</v>
      </c>
      <c r="K12" s="7">
        <v>2</v>
      </c>
      <c r="L12" s="7">
        <v>0</v>
      </c>
      <c r="M12" s="7">
        <v>0</v>
      </c>
      <c r="N12" s="4">
        <v>0</v>
      </c>
      <c r="O12" s="7">
        <v>0</v>
      </c>
      <c r="P12" s="7">
        <v>0</v>
      </c>
      <c r="Q12" s="7">
        <v>0</v>
      </c>
      <c r="R12" s="7">
        <v>2</v>
      </c>
      <c r="S12" s="17"/>
      <c r="T12" s="15" t="s">
        <v>391</v>
      </c>
      <c r="U12" s="10" t="s">
        <v>245</v>
      </c>
      <c r="V12" s="11" t="s">
        <v>199</v>
      </c>
      <c r="W12" s="11" t="s">
        <v>276</v>
      </c>
      <c r="X12" s="12" t="s">
        <v>337</v>
      </c>
      <c r="Y12" s="11">
        <v>1</v>
      </c>
      <c r="Z12" s="11">
        <v>1</v>
      </c>
      <c r="AA12" s="11">
        <v>0</v>
      </c>
      <c r="AB12" s="13">
        <v>0</v>
      </c>
      <c r="AC12" s="11"/>
      <c r="AD12" s="11"/>
      <c r="AE12" s="11"/>
      <c r="AF12" s="13"/>
      <c r="AG12" s="11">
        <v>1</v>
      </c>
      <c r="AH12" s="11">
        <v>1</v>
      </c>
      <c r="AI12" s="11">
        <v>0</v>
      </c>
      <c r="AJ12" s="13">
        <v>0</v>
      </c>
      <c r="AK12" s="11"/>
      <c r="AL12" s="11"/>
      <c r="AM12" s="11"/>
      <c r="AN12" s="13"/>
    </row>
    <row r="13" spans="1:43" ht="17" thickBot="1" x14ac:dyDescent="0.25">
      <c r="A13" s="81" t="s">
        <v>62</v>
      </c>
      <c r="B13" s="67" t="s">
        <v>44</v>
      </c>
      <c r="C13" s="68" t="s">
        <v>57</v>
      </c>
      <c r="D13" s="69" t="s">
        <v>47</v>
      </c>
      <c r="E13" s="69" t="s">
        <v>30</v>
      </c>
      <c r="F13" s="69">
        <v>23</v>
      </c>
      <c r="G13" s="70">
        <v>22</v>
      </c>
      <c r="H13" s="71">
        <v>0</v>
      </c>
      <c r="I13" s="72">
        <v>0</v>
      </c>
      <c r="J13" s="72">
        <v>3</v>
      </c>
      <c r="K13" s="72">
        <v>1</v>
      </c>
      <c r="L13" s="72">
        <v>0</v>
      </c>
      <c r="M13" s="72">
        <v>2</v>
      </c>
      <c r="N13" s="72">
        <v>1</v>
      </c>
      <c r="O13" s="72">
        <v>0</v>
      </c>
      <c r="P13" s="72">
        <v>1</v>
      </c>
      <c r="Q13" s="72">
        <v>1</v>
      </c>
      <c r="R13" s="72">
        <v>4</v>
      </c>
      <c r="S13" s="82"/>
      <c r="T13" s="80" t="s">
        <v>402</v>
      </c>
      <c r="U13" s="75" t="s">
        <v>205</v>
      </c>
      <c r="V13" s="76" t="s">
        <v>199</v>
      </c>
      <c r="W13" s="76" t="s">
        <v>198</v>
      </c>
      <c r="X13" s="77" t="s">
        <v>275</v>
      </c>
      <c r="Y13" s="76">
        <v>1</v>
      </c>
      <c r="Z13" s="76">
        <v>1</v>
      </c>
      <c r="AA13" s="76">
        <v>0</v>
      </c>
      <c r="AB13" s="78">
        <v>0</v>
      </c>
      <c r="AC13" s="76">
        <v>1</v>
      </c>
      <c r="AD13" s="76">
        <v>1</v>
      </c>
      <c r="AE13" s="76">
        <v>0</v>
      </c>
      <c r="AF13" s="78">
        <v>0</v>
      </c>
      <c r="AG13" s="76"/>
      <c r="AH13" s="76"/>
      <c r="AI13" s="76"/>
      <c r="AJ13" s="78"/>
      <c r="AK13" s="76"/>
      <c r="AL13" s="76"/>
      <c r="AM13" s="76"/>
      <c r="AN13" s="78"/>
    </row>
    <row r="14" spans="1:43" ht="17" thickBot="1" x14ac:dyDescent="0.25">
      <c r="A14" s="16" t="s">
        <v>95</v>
      </c>
      <c r="B14" s="2" t="s">
        <v>44</v>
      </c>
      <c r="C14" s="3" t="s">
        <v>49</v>
      </c>
      <c r="D14" s="4" t="s">
        <v>21</v>
      </c>
      <c r="E14" s="4" t="s">
        <v>30</v>
      </c>
      <c r="F14" s="4">
        <v>21</v>
      </c>
      <c r="G14" s="5">
        <v>7</v>
      </c>
      <c r="H14" s="6">
        <v>0</v>
      </c>
      <c r="I14" s="7">
        <v>0</v>
      </c>
      <c r="J14" s="7">
        <v>3</v>
      </c>
      <c r="K14" s="7">
        <v>3</v>
      </c>
      <c r="L14" s="7">
        <v>0</v>
      </c>
      <c r="M14" s="7">
        <v>0</v>
      </c>
      <c r="N14" s="7">
        <v>2</v>
      </c>
      <c r="O14" s="7">
        <v>0</v>
      </c>
      <c r="P14" s="7">
        <v>0</v>
      </c>
      <c r="Q14" s="7">
        <v>0</v>
      </c>
      <c r="R14" s="7">
        <v>1</v>
      </c>
      <c r="S14" s="17"/>
      <c r="T14" s="15" t="s">
        <v>423</v>
      </c>
      <c r="U14" s="10" t="s">
        <v>258</v>
      </c>
      <c r="V14" s="11" t="s">
        <v>207</v>
      </c>
      <c r="W14" s="11" t="s">
        <v>200</v>
      </c>
      <c r="X14" s="12" t="s">
        <v>422</v>
      </c>
      <c r="Y14" s="11">
        <v>1</v>
      </c>
      <c r="Z14" s="11">
        <v>1</v>
      </c>
      <c r="AA14" s="11">
        <v>0</v>
      </c>
      <c r="AB14" s="13">
        <v>0</v>
      </c>
      <c r="AC14" s="11"/>
      <c r="AD14" s="11"/>
      <c r="AE14" s="11"/>
      <c r="AF14" s="13"/>
      <c r="AG14" s="11">
        <v>1</v>
      </c>
      <c r="AH14" s="11">
        <v>1</v>
      </c>
      <c r="AI14" s="11">
        <v>0</v>
      </c>
      <c r="AJ14" s="13">
        <v>0</v>
      </c>
      <c r="AK14" s="11"/>
      <c r="AL14" s="11"/>
      <c r="AM14" s="11"/>
      <c r="AN14" s="13"/>
    </row>
    <row r="15" spans="1:43" ht="17" thickBot="1" x14ac:dyDescent="0.25">
      <c r="A15" s="81" t="s">
        <v>65</v>
      </c>
      <c r="B15" s="67" t="s">
        <v>44</v>
      </c>
      <c r="C15" s="68" t="s">
        <v>63</v>
      </c>
      <c r="D15" s="69" t="s">
        <v>47</v>
      </c>
      <c r="E15" s="69" t="s">
        <v>30</v>
      </c>
      <c r="F15" s="69">
        <v>29</v>
      </c>
      <c r="G15" s="70">
        <v>12</v>
      </c>
      <c r="H15" s="71">
        <v>1</v>
      </c>
      <c r="I15" s="72">
        <v>0</v>
      </c>
      <c r="J15" s="72">
        <v>4</v>
      </c>
      <c r="K15" s="72">
        <v>1</v>
      </c>
      <c r="L15" s="72">
        <v>0</v>
      </c>
      <c r="M15" s="72">
        <v>1</v>
      </c>
      <c r="N15" s="72">
        <v>1</v>
      </c>
      <c r="O15" s="72">
        <v>0</v>
      </c>
      <c r="P15" s="72">
        <v>0</v>
      </c>
      <c r="Q15" s="72">
        <v>0</v>
      </c>
      <c r="R15" s="72">
        <v>2</v>
      </c>
      <c r="S15" s="82"/>
      <c r="T15" s="80" t="s">
        <v>432</v>
      </c>
      <c r="U15" s="75" t="s">
        <v>197</v>
      </c>
      <c r="V15" s="76" t="s">
        <v>297</v>
      </c>
      <c r="W15" s="76" t="s">
        <v>249</v>
      </c>
      <c r="X15" s="77" t="s">
        <v>203</v>
      </c>
      <c r="Y15" s="76">
        <v>1</v>
      </c>
      <c r="Z15" s="76">
        <v>1</v>
      </c>
      <c r="AA15" s="76">
        <v>0</v>
      </c>
      <c r="AB15" s="78">
        <v>0</v>
      </c>
      <c r="AC15" s="76">
        <v>1</v>
      </c>
      <c r="AD15" s="76">
        <v>1</v>
      </c>
      <c r="AE15" s="76">
        <v>0</v>
      </c>
      <c r="AF15" s="78">
        <v>0</v>
      </c>
      <c r="AG15" s="76"/>
      <c r="AH15" s="76"/>
      <c r="AI15" s="76"/>
      <c r="AJ15" s="78"/>
      <c r="AK15" s="76"/>
      <c r="AL15" s="76"/>
      <c r="AM15" s="76"/>
      <c r="AN15" s="78"/>
    </row>
    <row r="16" spans="1:43" ht="17" thickBot="1" x14ac:dyDescent="0.25">
      <c r="A16" s="81" t="s">
        <v>88</v>
      </c>
      <c r="B16" s="67" t="s">
        <v>44</v>
      </c>
      <c r="C16" s="68" t="s">
        <v>60</v>
      </c>
      <c r="D16" s="69" t="s">
        <v>47</v>
      </c>
      <c r="E16" s="69" t="s">
        <v>30</v>
      </c>
      <c r="F16" s="69">
        <v>28</v>
      </c>
      <c r="G16" s="70">
        <v>25</v>
      </c>
      <c r="H16" s="71">
        <v>1</v>
      </c>
      <c r="I16" s="72">
        <v>0</v>
      </c>
      <c r="J16" s="72">
        <v>4</v>
      </c>
      <c r="K16" s="72">
        <v>1</v>
      </c>
      <c r="L16" s="72">
        <v>0</v>
      </c>
      <c r="M16" s="72">
        <v>2</v>
      </c>
      <c r="N16" s="72">
        <v>0</v>
      </c>
      <c r="O16" s="72">
        <v>0</v>
      </c>
      <c r="P16" s="72">
        <v>0</v>
      </c>
      <c r="Q16" s="72">
        <v>1</v>
      </c>
      <c r="R16" s="72">
        <v>3</v>
      </c>
      <c r="S16" s="82"/>
      <c r="T16" s="80" t="s">
        <v>444</v>
      </c>
      <c r="U16" s="75" t="s">
        <v>258</v>
      </c>
      <c r="V16" s="76" t="s">
        <v>207</v>
      </c>
      <c r="W16" s="76" t="s">
        <v>208</v>
      </c>
      <c r="X16" s="76" t="s">
        <v>275</v>
      </c>
      <c r="Y16" s="76">
        <v>1</v>
      </c>
      <c r="Z16" s="76">
        <v>1</v>
      </c>
      <c r="AA16" s="76">
        <v>0</v>
      </c>
      <c r="AB16" s="78">
        <v>0</v>
      </c>
      <c r="AC16" s="76">
        <v>1</v>
      </c>
      <c r="AD16" s="76">
        <v>1</v>
      </c>
      <c r="AE16" s="76">
        <v>0</v>
      </c>
      <c r="AF16" s="78">
        <v>0</v>
      </c>
      <c r="AG16" s="76"/>
      <c r="AH16" s="76"/>
      <c r="AI16" s="76"/>
      <c r="AJ16" s="78"/>
      <c r="AK16" s="76"/>
      <c r="AL16" s="76"/>
      <c r="AM16" s="76"/>
      <c r="AN16" s="78"/>
    </row>
    <row r="17" spans="1:40" ht="17" thickBot="1" x14ac:dyDescent="0.25">
      <c r="A17" s="16" t="s">
        <v>68</v>
      </c>
      <c r="B17" s="2" t="s">
        <v>44</v>
      </c>
      <c r="C17" s="3" t="s">
        <v>66</v>
      </c>
      <c r="D17" s="4" t="s">
        <v>21</v>
      </c>
      <c r="E17" s="4" t="s">
        <v>31</v>
      </c>
      <c r="F17" s="4">
        <v>24</v>
      </c>
      <c r="G17" s="5">
        <v>37</v>
      </c>
      <c r="H17" s="6">
        <v>0</v>
      </c>
      <c r="I17" s="7">
        <v>0</v>
      </c>
      <c r="J17" s="7">
        <v>3</v>
      </c>
      <c r="K17" s="7">
        <v>2</v>
      </c>
      <c r="L17" s="7">
        <v>0</v>
      </c>
      <c r="M17" s="7">
        <v>1</v>
      </c>
      <c r="N17" s="4">
        <v>1</v>
      </c>
      <c r="O17" s="7">
        <v>0</v>
      </c>
      <c r="P17" s="7">
        <v>0</v>
      </c>
      <c r="Q17" s="7">
        <v>0</v>
      </c>
      <c r="R17" s="7">
        <v>3</v>
      </c>
      <c r="S17" s="8"/>
      <c r="T17" s="9" t="s">
        <v>464</v>
      </c>
      <c r="U17" s="11" t="s">
        <v>214</v>
      </c>
      <c r="V17" s="11" t="s">
        <v>207</v>
      </c>
      <c r="W17" s="11" t="s">
        <v>216</v>
      </c>
      <c r="X17" s="11" t="s">
        <v>281</v>
      </c>
      <c r="Y17" s="11">
        <v>1</v>
      </c>
      <c r="Z17" s="11">
        <v>0</v>
      </c>
      <c r="AA17" s="11">
        <v>0</v>
      </c>
      <c r="AB17" s="13">
        <v>1</v>
      </c>
      <c r="AC17" s="11"/>
      <c r="AD17" s="11"/>
      <c r="AE17" s="11"/>
      <c r="AF17" s="13"/>
      <c r="AG17" s="11">
        <v>1</v>
      </c>
      <c r="AH17" s="11">
        <v>0</v>
      </c>
      <c r="AI17" s="11">
        <v>0</v>
      </c>
      <c r="AJ17" s="13">
        <v>1</v>
      </c>
      <c r="AK17" s="11"/>
      <c r="AL17" s="11"/>
      <c r="AM17" s="11"/>
      <c r="AN17" s="13"/>
    </row>
    <row r="18" spans="1:40" ht="17" thickBot="1" x14ac:dyDescent="0.25">
      <c r="A18" s="81" t="s">
        <v>89</v>
      </c>
      <c r="B18" s="67" t="s">
        <v>44</v>
      </c>
      <c r="C18" s="161" t="s">
        <v>51</v>
      </c>
      <c r="D18" s="162" t="s">
        <v>47</v>
      </c>
      <c r="E18" s="162" t="s">
        <v>30</v>
      </c>
      <c r="F18" s="163">
        <v>29</v>
      </c>
      <c r="G18" s="164">
        <v>28</v>
      </c>
      <c r="H18" s="165">
        <v>1</v>
      </c>
      <c r="I18" s="166">
        <v>0</v>
      </c>
      <c r="J18" s="166">
        <v>4</v>
      </c>
      <c r="K18" s="166">
        <v>2</v>
      </c>
      <c r="L18" s="166">
        <v>0</v>
      </c>
      <c r="M18" s="166">
        <v>1</v>
      </c>
      <c r="N18" s="166">
        <v>1</v>
      </c>
      <c r="O18" s="166">
        <v>0</v>
      </c>
      <c r="P18" s="166">
        <v>1</v>
      </c>
      <c r="Q18" s="166">
        <v>1</v>
      </c>
      <c r="R18" s="166">
        <v>4</v>
      </c>
      <c r="S18" s="167"/>
      <c r="T18" s="80" t="s">
        <v>472</v>
      </c>
      <c r="U18" s="169" t="s">
        <v>197</v>
      </c>
      <c r="V18" s="169" t="s">
        <v>199</v>
      </c>
      <c r="W18" s="169" t="s">
        <v>467</v>
      </c>
      <c r="X18" s="170" t="s">
        <v>275</v>
      </c>
      <c r="Y18" s="169">
        <v>1</v>
      </c>
      <c r="Z18" s="169">
        <v>1</v>
      </c>
      <c r="AA18" s="169">
        <v>0</v>
      </c>
      <c r="AB18" s="171">
        <v>0</v>
      </c>
      <c r="AC18" s="169">
        <v>1</v>
      </c>
      <c r="AD18" s="169">
        <v>1</v>
      </c>
      <c r="AE18" s="169">
        <v>0</v>
      </c>
      <c r="AF18" s="171">
        <v>0</v>
      </c>
      <c r="AG18" s="169"/>
      <c r="AH18" s="169"/>
      <c r="AI18" s="169"/>
      <c r="AJ18" s="171"/>
      <c r="AK18" s="169"/>
      <c r="AL18" s="169"/>
      <c r="AM18" s="169"/>
      <c r="AN18" s="171"/>
    </row>
    <row r="19" spans="1:40" ht="17" thickBot="1" x14ac:dyDescent="0.25">
      <c r="A19" s="398" t="s">
        <v>478</v>
      </c>
      <c r="B19" s="398" t="s">
        <v>481</v>
      </c>
      <c r="C19" s="399" t="s">
        <v>51</v>
      </c>
      <c r="D19" s="32" t="s">
        <v>47</v>
      </c>
      <c r="E19" s="69" t="s">
        <v>31</v>
      </c>
      <c r="F19" s="69">
        <v>22</v>
      </c>
      <c r="G19" s="70">
        <v>34</v>
      </c>
      <c r="H19" s="71" t="s">
        <v>483</v>
      </c>
      <c r="I19" s="72" t="s">
        <v>483</v>
      </c>
      <c r="J19" s="72">
        <v>3</v>
      </c>
      <c r="K19" s="72">
        <v>2</v>
      </c>
      <c r="L19" s="72">
        <v>0</v>
      </c>
      <c r="M19" s="72">
        <v>1</v>
      </c>
      <c r="N19" s="72">
        <v>1</v>
      </c>
      <c r="O19" s="72">
        <v>0</v>
      </c>
      <c r="P19" s="72" t="s">
        <v>483</v>
      </c>
      <c r="Q19" s="72" t="s">
        <v>483</v>
      </c>
      <c r="R19" s="72">
        <v>5</v>
      </c>
      <c r="S19" s="82"/>
      <c r="T19" s="400" t="s">
        <v>486</v>
      </c>
      <c r="U19" s="76" t="s">
        <v>205</v>
      </c>
      <c r="V19" s="76" t="s">
        <v>199</v>
      </c>
      <c r="W19" s="76" t="s">
        <v>245</v>
      </c>
      <c r="X19" s="401" t="s">
        <v>273</v>
      </c>
      <c r="Y19" s="76">
        <v>1</v>
      </c>
      <c r="Z19" s="76">
        <v>0</v>
      </c>
      <c r="AA19" s="76">
        <v>0</v>
      </c>
      <c r="AB19" s="78">
        <v>1</v>
      </c>
      <c r="AC19" s="76">
        <v>1</v>
      </c>
      <c r="AD19" s="76">
        <v>0</v>
      </c>
      <c r="AE19" s="76">
        <v>0</v>
      </c>
      <c r="AF19" s="78">
        <v>1</v>
      </c>
      <c r="AG19" s="76"/>
      <c r="AH19" s="76"/>
      <c r="AI19" s="76"/>
      <c r="AJ19" s="78"/>
      <c r="AK19" s="76"/>
      <c r="AL19" s="76"/>
      <c r="AM19" s="76"/>
      <c r="AN19" s="78"/>
    </row>
    <row r="20" spans="1:40" ht="17" thickBot="1" x14ac:dyDescent="0.25">
      <c r="A20" s="33"/>
      <c r="B20" s="34"/>
      <c r="C20" s="425" t="s">
        <v>40</v>
      </c>
      <c r="D20" s="426"/>
      <c r="E20" s="427"/>
      <c r="F20" s="38">
        <f t="shared" ref="F20:R20" si="0">SUM(F3+F4+F5+F6+F7+F8+F9+F10+F11+F12+F13+F14+F15+F16+F17+F18)</f>
        <v>478</v>
      </c>
      <c r="G20" s="38">
        <f t="shared" si="0"/>
        <v>347</v>
      </c>
      <c r="H20" s="38">
        <f t="shared" si="0"/>
        <v>11</v>
      </c>
      <c r="I20" s="38">
        <f t="shared" si="0"/>
        <v>0</v>
      </c>
      <c r="J20" s="38">
        <f t="shared" si="0"/>
        <v>66</v>
      </c>
      <c r="K20" s="38">
        <f t="shared" si="0"/>
        <v>35</v>
      </c>
      <c r="L20" s="38">
        <f t="shared" si="0"/>
        <v>0</v>
      </c>
      <c r="M20" s="38">
        <f t="shared" si="0"/>
        <v>20</v>
      </c>
      <c r="N20" s="38">
        <f t="shared" si="0"/>
        <v>12</v>
      </c>
      <c r="O20" s="38">
        <f t="shared" si="0"/>
        <v>1</v>
      </c>
      <c r="P20" s="38">
        <f t="shared" si="0"/>
        <v>5</v>
      </c>
      <c r="Q20" s="38">
        <f t="shared" si="0"/>
        <v>7</v>
      </c>
      <c r="R20" s="38">
        <f t="shared" si="0"/>
        <v>47</v>
      </c>
      <c r="S20" s="39"/>
      <c r="T20" s="39"/>
      <c r="U20" s="39"/>
      <c r="V20" s="39"/>
      <c r="W20" s="40"/>
      <c r="X20" s="41" t="s">
        <v>40</v>
      </c>
      <c r="Y20" s="38">
        <f t="shared" ref="Y20:AN20" si="1">Y3+Y4+Y5+Y6+Y7+Y8+Y9+Y10+Y11+Y12+Y13+Y14+Y15+Y16+Y17+Y18</f>
        <v>16</v>
      </c>
      <c r="Z20" s="38">
        <f t="shared" si="1"/>
        <v>14</v>
      </c>
      <c r="AA20" s="38">
        <f t="shared" si="1"/>
        <v>0</v>
      </c>
      <c r="AB20" s="38">
        <f t="shared" si="1"/>
        <v>2</v>
      </c>
      <c r="AC20" s="32">
        <f t="shared" si="1"/>
        <v>8</v>
      </c>
      <c r="AD20" s="32">
        <f t="shared" si="1"/>
        <v>7</v>
      </c>
      <c r="AE20" s="32">
        <f t="shared" si="1"/>
        <v>0</v>
      </c>
      <c r="AF20" s="32">
        <f t="shared" si="1"/>
        <v>1</v>
      </c>
      <c r="AG20" s="31">
        <f t="shared" si="1"/>
        <v>8</v>
      </c>
      <c r="AH20" s="31">
        <f t="shared" si="1"/>
        <v>7</v>
      </c>
      <c r="AI20" s="31">
        <f t="shared" si="1"/>
        <v>0</v>
      </c>
      <c r="AJ20" s="31">
        <f t="shared" si="1"/>
        <v>1</v>
      </c>
      <c r="AK20" s="38">
        <f t="shared" si="1"/>
        <v>0</v>
      </c>
      <c r="AL20" s="38">
        <f t="shared" si="1"/>
        <v>0</v>
      </c>
      <c r="AM20" s="38">
        <f t="shared" si="1"/>
        <v>0</v>
      </c>
      <c r="AN20" s="38">
        <f t="shared" si="1"/>
        <v>0</v>
      </c>
    </row>
    <row r="21" spans="1:40" ht="17" thickBot="1" x14ac:dyDescent="0.25">
      <c r="A21" s="33"/>
      <c r="B21" s="34"/>
      <c r="C21" s="35" t="s">
        <v>41</v>
      </c>
      <c r="D21" s="36"/>
      <c r="E21" s="37"/>
      <c r="F21" s="42">
        <f>F19</f>
        <v>22</v>
      </c>
      <c r="G21" s="42">
        <f>G19</f>
        <v>34</v>
      </c>
      <c r="H21" s="42" t="s">
        <v>483</v>
      </c>
      <c r="I21" s="42" t="s">
        <v>483</v>
      </c>
      <c r="J21" s="42">
        <f>J19</f>
        <v>3</v>
      </c>
      <c r="K21" s="42">
        <f t="shared" ref="K21:O21" si="2">K19</f>
        <v>2</v>
      </c>
      <c r="L21" s="42">
        <f t="shared" si="2"/>
        <v>0</v>
      </c>
      <c r="M21" s="42">
        <f t="shared" si="2"/>
        <v>1</v>
      </c>
      <c r="N21" s="42">
        <f t="shared" si="2"/>
        <v>1</v>
      </c>
      <c r="O21" s="42">
        <f t="shared" si="2"/>
        <v>0</v>
      </c>
      <c r="P21" s="42" t="s">
        <v>483</v>
      </c>
      <c r="Q21" s="42" t="s">
        <v>483</v>
      </c>
      <c r="R21" s="42">
        <f>R19</f>
        <v>5</v>
      </c>
      <c r="S21" s="39"/>
      <c r="T21" s="39"/>
      <c r="U21" s="39"/>
      <c r="V21" s="39"/>
      <c r="W21" s="40"/>
      <c r="X21" s="41" t="s">
        <v>41</v>
      </c>
      <c r="Y21" s="38">
        <f>Y19</f>
        <v>1</v>
      </c>
      <c r="Z21" s="38">
        <f t="shared" ref="Z21:AB21" si="3">Z19</f>
        <v>0</v>
      </c>
      <c r="AA21" s="38">
        <f t="shared" si="3"/>
        <v>0</v>
      </c>
      <c r="AB21" s="38">
        <f t="shared" si="3"/>
        <v>1</v>
      </c>
      <c r="AC21" s="43">
        <f>AC19</f>
        <v>1</v>
      </c>
      <c r="AD21" s="43">
        <f t="shared" ref="AD21:AF21" si="4">AD19</f>
        <v>0</v>
      </c>
      <c r="AE21" s="43">
        <f t="shared" si="4"/>
        <v>0</v>
      </c>
      <c r="AF21" s="43">
        <f t="shared" si="4"/>
        <v>1</v>
      </c>
      <c r="AG21" s="44">
        <f>AG19</f>
        <v>0</v>
      </c>
      <c r="AH21" s="44">
        <f t="shared" ref="AH21:AJ21" si="5">AH19</f>
        <v>0</v>
      </c>
      <c r="AI21" s="44">
        <f t="shared" si="5"/>
        <v>0</v>
      </c>
      <c r="AJ21" s="44">
        <f t="shared" si="5"/>
        <v>0</v>
      </c>
      <c r="AK21" s="42">
        <f>AK19</f>
        <v>0</v>
      </c>
      <c r="AL21" s="42">
        <f t="shared" ref="AL21:AN21" si="6">AL19</f>
        <v>0</v>
      </c>
      <c r="AM21" s="42">
        <f t="shared" si="6"/>
        <v>0</v>
      </c>
      <c r="AN21" s="42">
        <f t="shared" si="6"/>
        <v>0</v>
      </c>
    </row>
    <row r="22" spans="1:40" ht="17" thickBot="1" x14ac:dyDescent="0.25">
      <c r="A22" s="33"/>
      <c r="B22" s="34"/>
      <c r="C22" s="425" t="s">
        <v>42</v>
      </c>
      <c r="D22" s="431"/>
      <c r="E22" s="432"/>
      <c r="F22" s="42">
        <f>SUM(F20+F21)</f>
        <v>500</v>
      </c>
      <c r="G22" s="42">
        <f t="shared" ref="G22:R22" si="7">SUM(G20+G21)</f>
        <v>381</v>
      </c>
      <c r="H22" s="42">
        <f>H20</f>
        <v>11</v>
      </c>
      <c r="I22" s="42">
        <f>I20</f>
        <v>0</v>
      </c>
      <c r="J22" s="42">
        <f t="shared" si="7"/>
        <v>69</v>
      </c>
      <c r="K22" s="42">
        <f t="shared" si="7"/>
        <v>37</v>
      </c>
      <c r="L22" s="42">
        <f t="shared" si="7"/>
        <v>0</v>
      </c>
      <c r="M22" s="42">
        <f t="shared" si="7"/>
        <v>21</v>
      </c>
      <c r="N22" s="42">
        <f t="shared" si="7"/>
        <v>13</v>
      </c>
      <c r="O22" s="42">
        <f t="shared" si="7"/>
        <v>1</v>
      </c>
      <c r="P22" s="42">
        <f>P20</f>
        <v>5</v>
      </c>
      <c r="Q22" s="42">
        <f>Q20</f>
        <v>7</v>
      </c>
      <c r="R22" s="42">
        <f t="shared" si="7"/>
        <v>52</v>
      </c>
      <c r="S22" s="39"/>
      <c r="T22" s="39"/>
      <c r="U22" s="39"/>
      <c r="V22" s="39"/>
      <c r="W22" s="40"/>
      <c r="X22" s="41" t="s">
        <v>42</v>
      </c>
      <c r="Y22" s="38">
        <f t="shared" ref="Y22:AN22" si="8">SUM(Y20+Y21)</f>
        <v>17</v>
      </c>
      <c r="Z22" s="42">
        <f t="shared" si="8"/>
        <v>14</v>
      </c>
      <c r="AA22" s="42">
        <f t="shared" si="8"/>
        <v>0</v>
      </c>
      <c r="AB22" s="42">
        <f t="shared" si="8"/>
        <v>3</v>
      </c>
      <c r="AC22" s="43">
        <f t="shared" si="8"/>
        <v>9</v>
      </c>
      <c r="AD22" s="43">
        <f t="shared" si="8"/>
        <v>7</v>
      </c>
      <c r="AE22" s="43">
        <f t="shared" si="8"/>
        <v>0</v>
      </c>
      <c r="AF22" s="43">
        <f t="shared" si="8"/>
        <v>2</v>
      </c>
      <c r="AG22" s="44">
        <f t="shared" si="8"/>
        <v>8</v>
      </c>
      <c r="AH22" s="44">
        <f t="shared" si="8"/>
        <v>7</v>
      </c>
      <c r="AI22" s="44">
        <f t="shared" si="8"/>
        <v>0</v>
      </c>
      <c r="AJ22" s="44">
        <f t="shared" si="8"/>
        <v>1</v>
      </c>
      <c r="AK22" s="42">
        <f t="shared" si="8"/>
        <v>0</v>
      </c>
      <c r="AL22" s="42">
        <f t="shared" si="8"/>
        <v>0</v>
      </c>
      <c r="AM22" s="42">
        <f t="shared" si="8"/>
        <v>0</v>
      </c>
      <c r="AN22" s="42">
        <f t="shared" si="8"/>
        <v>0</v>
      </c>
    </row>
    <row r="24" spans="1:40" x14ac:dyDescent="0.2">
      <c r="A24" s="178" t="s">
        <v>429</v>
      </c>
    </row>
  </sheetData>
  <mergeCells count="13">
    <mergeCell ref="AP1:AQ1"/>
    <mergeCell ref="C22:E22"/>
    <mergeCell ref="A1:D1"/>
    <mergeCell ref="E1:G1"/>
    <mergeCell ref="H1:I1"/>
    <mergeCell ref="J1:M1"/>
    <mergeCell ref="Y1:AB1"/>
    <mergeCell ref="AC1:AF1"/>
    <mergeCell ref="AG1:AJ1"/>
    <mergeCell ref="AK1:AN1"/>
    <mergeCell ref="C20:E20"/>
    <mergeCell ref="N1:O1"/>
    <mergeCell ref="P1:R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D15D7-C9CD-8241-837C-BA8EFDF8AD06}">
  <dimension ref="A1:AQ22"/>
  <sheetViews>
    <sheetView zoomScale="80" zoomScaleNormal="80" workbookViewId="0">
      <selection sqref="A1:D1"/>
    </sheetView>
  </sheetViews>
  <sheetFormatPr baseColWidth="10" defaultColWidth="11.5" defaultRowHeight="16" x14ac:dyDescent="0.2"/>
  <cols>
    <col min="1" max="1" width="6.5" bestFit="1" customWidth="1"/>
    <col min="2" max="2" width="6" bestFit="1" customWidth="1"/>
    <col min="3" max="3" width="12" customWidth="1"/>
    <col min="4" max="4" width="4.83203125" customWidth="1"/>
    <col min="5" max="7" width="4.6640625" customWidth="1"/>
    <col min="8" max="18" width="4.83203125" customWidth="1"/>
    <col min="19" max="19" width="7" customWidth="1"/>
    <col min="20" max="20" width="6.83203125" customWidth="1"/>
    <col min="21" max="21" width="24" bestFit="1" customWidth="1"/>
    <col min="22" max="23" width="29" bestFit="1" customWidth="1"/>
    <col min="24" max="24" width="24" bestFit="1" customWidth="1"/>
    <col min="25" max="40" width="4.83203125" customWidth="1"/>
    <col min="42" max="42" width="14.5" bestFit="1" customWidth="1"/>
  </cols>
  <sheetData>
    <row r="1" spans="1:43" ht="17" thickBot="1" x14ac:dyDescent="0.25">
      <c r="A1" s="483" t="s">
        <v>73</v>
      </c>
      <c r="B1" s="484"/>
      <c r="C1" s="484"/>
      <c r="D1" s="485"/>
      <c r="E1" s="486" t="s">
        <v>0</v>
      </c>
      <c r="F1" s="487"/>
      <c r="G1" s="488"/>
      <c r="H1" s="486" t="s">
        <v>1</v>
      </c>
      <c r="I1" s="488"/>
      <c r="J1" s="489" t="s">
        <v>2</v>
      </c>
      <c r="K1" s="490"/>
      <c r="L1" s="490"/>
      <c r="M1" s="491"/>
      <c r="N1" s="489" t="s">
        <v>3</v>
      </c>
      <c r="O1" s="491"/>
      <c r="P1" s="489" t="s">
        <v>4</v>
      </c>
      <c r="Q1" s="490"/>
      <c r="R1" s="491"/>
      <c r="S1" s="356" t="s">
        <v>5</v>
      </c>
      <c r="T1" s="356" t="s">
        <v>6</v>
      </c>
      <c r="U1" s="357" t="s">
        <v>7</v>
      </c>
      <c r="V1" s="358" t="s">
        <v>8</v>
      </c>
      <c r="W1" s="358" t="s">
        <v>9</v>
      </c>
      <c r="X1" s="359" t="s">
        <v>10</v>
      </c>
      <c r="Y1" s="492" t="s">
        <v>11</v>
      </c>
      <c r="Z1" s="493"/>
      <c r="AA1" s="493"/>
      <c r="AB1" s="494"/>
      <c r="AC1" s="492" t="s">
        <v>12</v>
      </c>
      <c r="AD1" s="493"/>
      <c r="AE1" s="493"/>
      <c r="AF1" s="494"/>
      <c r="AG1" s="492" t="s">
        <v>13</v>
      </c>
      <c r="AH1" s="493"/>
      <c r="AI1" s="493"/>
      <c r="AJ1" s="494"/>
      <c r="AK1" s="492" t="s">
        <v>14</v>
      </c>
      <c r="AL1" s="493"/>
      <c r="AM1" s="493"/>
      <c r="AN1" s="494"/>
      <c r="AP1" s="482" t="s">
        <v>195</v>
      </c>
      <c r="AQ1" s="482"/>
    </row>
    <row r="2" spans="1:43" ht="17" thickBot="1" x14ac:dyDescent="0.25">
      <c r="A2" s="360" t="s">
        <v>15</v>
      </c>
      <c r="B2" s="361" t="s">
        <v>16</v>
      </c>
      <c r="C2" s="362" t="s">
        <v>17</v>
      </c>
      <c r="D2" s="362" t="s">
        <v>18</v>
      </c>
      <c r="E2" s="363" t="s">
        <v>19</v>
      </c>
      <c r="F2" s="363" t="s">
        <v>20</v>
      </c>
      <c r="G2" s="363" t="s">
        <v>21</v>
      </c>
      <c r="H2" s="364" t="s">
        <v>22</v>
      </c>
      <c r="I2" s="364" t="s">
        <v>23</v>
      </c>
      <c r="J2" s="364" t="s">
        <v>24</v>
      </c>
      <c r="K2" s="364" t="s">
        <v>25</v>
      </c>
      <c r="L2" s="364" t="s">
        <v>26</v>
      </c>
      <c r="M2" s="364" t="s">
        <v>27</v>
      </c>
      <c r="N2" s="364" t="s">
        <v>28</v>
      </c>
      <c r="O2" s="364" t="s">
        <v>19</v>
      </c>
      <c r="P2" s="364" t="s">
        <v>22</v>
      </c>
      <c r="Q2" s="364" t="s">
        <v>23</v>
      </c>
      <c r="R2" s="364" t="s">
        <v>24</v>
      </c>
      <c r="S2" s="365"/>
      <c r="T2" s="366"/>
      <c r="U2" s="367"/>
      <c r="V2" s="365"/>
      <c r="W2" s="368"/>
      <c r="X2" s="369"/>
      <c r="Y2" s="370" t="s">
        <v>29</v>
      </c>
      <c r="Z2" s="370" t="s">
        <v>30</v>
      </c>
      <c r="AA2" s="370" t="s">
        <v>26</v>
      </c>
      <c r="AB2" s="370" t="s">
        <v>31</v>
      </c>
      <c r="AC2" s="370" t="s">
        <v>29</v>
      </c>
      <c r="AD2" s="370" t="s">
        <v>30</v>
      </c>
      <c r="AE2" s="370" t="s">
        <v>26</v>
      </c>
      <c r="AF2" s="370" t="s">
        <v>31</v>
      </c>
      <c r="AG2" s="370" t="s">
        <v>29</v>
      </c>
      <c r="AH2" s="370" t="s">
        <v>30</v>
      </c>
      <c r="AI2" s="370" t="s">
        <v>26</v>
      </c>
      <c r="AJ2" s="370" t="s">
        <v>31</v>
      </c>
      <c r="AK2" s="370" t="s">
        <v>29</v>
      </c>
      <c r="AL2" s="370" t="s">
        <v>30</v>
      </c>
      <c r="AM2" s="370" t="s">
        <v>26</v>
      </c>
      <c r="AN2" s="371" t="s">
        <v>31</v>
      </c>
      <c r="AP2" s="333" t="s">
        <v>187</v>
      </c>
      <c r="AQ2" s="329">
        <f>Y20</f>
        <v>16</v>
      </c>
    </row>
    <row r="3" spans="1:43" ht="17" thickBot="1" x14ac:dyDescent="0.25">
      <c r="A3" s="66" t="s">
        <v>90</v>
      </c>
      <c r="B3" s="67" t="s">
        <v>44</v>
      </c>
      <c r="C3" s="68" t="s">
        <v>57</v>
      </c>
      <c r="D3" s="69" t="s">
        <v>47</v>
      </c>
      <c r="E3" s="69" t="s">
        <v>31</v>
      </c>
      <c r="F3" s="69">
        <v>19</v>
      </c>
      <c r="G3" s="70">
        <v>23</v>
      </c>
      <c r="H3" s="71">
        <v>0</v>
      </c>
      <c r="I3" s="72">
        <v>1</v>
      </c>
      <c r="J3" s="72">
        <v>1</v>
      </c>
      <c r="K3" s="72">
        <v>1</v>
      </c>
      <c r="L3" s="72">
        <v>0</v>
      </c>
      <c r="M3" s="72">
        <v>4</v>
      </c>
      <c r="N3" s="72">
        <v>2</v>
      </c>
      <c r="O3" s="72">
        <v>0</v>
      </c>
      <c r="P3" s="72">
        <v>0</v>
      </c>
      <c r="Q3" s="72">
        <v>0</v>
      </c>
      <c r="R3" s="72">
        <v>2</v>
      </c>
      <c r="S3" s="73"/>
      <c r="T3" s="74" t="s">
        <v>225</v>
      </c>
      <c r="U3" s="75" t="s">
        <v>208</v>
      </c>
      <c r="V3" s="76" t="s">
        <v>211</v>
      </c>
      <c r="W3" s="77" t="s">
        <v>209</v>
      </c>
      <c r="X3" s="76" t="s">
        <v>210</v>
      </c>
      <c r="Y3" s="76">
        <v>1</v>
      </c>
      <c r="Z3" s="76">
        <v>0</v>
      </c>
      <c r="AA3" s="76">
        <v>0</v>
      </c>
      <c r="AB3" s="78">
        <v>1</v>
      </c>
      <c r="AC3" s="76">
        <v>1</v>
      </c>
      <c r="AD3" s="76">
        <v>0</v>
      </c>
      <c r="AE3" s="76">
        <v>0</v>
      </c>
      <c r="AF3" s="78">
        <v>1</v>
      </c>
      <c r="AG3" s="76"/>
      <c r="AH3" s="76"/>
      <c r="AI3" s="76"/>
      <c r="AJ3" s="78"/>
      <c r="AK3" s="76"/>
      <c r="AL3" s="76"/>
      <c r="AM3" s="76"/>
      <c r="AN3" s="78"/>
      <c r="AP3" s="333" t="s">
        <v>188</v>
      </c>
      <c r="AQ3" s="329">
        <f>Z20</f>
        <v>6</v>
      </c>
    </row>
    <row r="4" spans="1:43" ht="17" thickBot="1" x14ac:dyDescent="0.25">
      <c r="A4" s="1" t="s">
        <v>91</v>
      </c>
      <c r="B4" s="2" t="s">
        <v>44</v>
      </c>
      <c r="C4" s="3" t="s">
        <v>60</v>
      </c>
      <c r="D4" s="4" t="s">
        <v>21</v>
      </c>
      <c r="E4" s="7" t="s">
        <v>31</v>
      </c>
      <c r="F4" s="4">
        <v>18</v>
      </c>
      <c r="G4" s="5">
        <v>29</v>
      </c>
      <c r="H4" s="6">
        <v>0</v>
      </c>
      <c r="I4" s="7">
        <v>0</v>
      </c>
      <c r="J4" s="7">
        <v>2</v>
      </c>
      <c r="K4" s="4">
        <v>1</v>
      </c>
      <c r="L4" s="7">
        <v>0</v>
      </c>
      <c r="M4" s="4">
        <v>2</v>
      </c>
      <c r="N4" s="7">
        <v>1</v>
      </c>
      <c r="O4" s="7">
        <v>0</v>
      </c>
      <c r="P4" s="7">
        <v>0</v>
      </c>
      <c r="Q4" s="4">
        <v>0</v>
      </c>
      <c r="R4" s="7">
        <v>2</v>
      </c>
      <c r="S4" s="8"/>
      <c r="T4" s="9" t="s">
        <v>256</v>
      </c>
      <c r="U4" s="10" t="s">
        <v>254</v>
      </c>
      <c r="V4" s="11" t="s">
        <v>242</v>
      </c>
      <c r="W4" s="11" t="s">
        <v>201</v>
      </c>
      <c r="X4" s="12" t="s">
        <v>255</v>
      </c>
      <c r="Y4" s="11">
        <v>1</v>
      </c>
      <c r="Z4" s="11">
        <v>0</v>
      </c>
      <c r="AA4" s="11">
        <v>0</v>
      </c>
      <c r="AB4" s="13">
        <v>1</v>
      </c>
      <c r="AC4" s="11"/>
      <c r="AD4" s="11"/>
      <c r="AE4" s="11"/>
      <c r="AF4" s="13"/>
      <c r="AG4" s="11">
        <v>1</v>
      </c>
      <c r="AH4" s="11">
        <v>0</v>
      </c>
      <c r="AI4" s="11">
        <v>0</v>
      </c>
      <c r="AJ4" s="13">
        <v>1</v>
      </c>
      <c r="AK4" s="11"/>
      <c r="AL4" s="11"/>
      <c r="AM4" s="11"/>
      <c r="AN4" s="13"/>
      <c r="AP4" s="333" t="s">
        <v>189</v>
      </c>
      <c r="AQ4" s="329">
        <f>AA20</f>
        <v>0</v>
      </c>
    </row>
    <row r="5" spans="1:43" ht="17" thickBot="1" x14ac:dyDescent="0.25">
      <c r="A5" s="1" t="s">
        <v>50</v>
      </c>
      <c r="B5" s="2" t="s">
        <v>44</v>
      </c>
      <c r="C5" s="3" t="s">
        <v>61</v>
      </c>
      <c r="D5" s="4" t="s">
        <v>21</v>
      </c>
      <c r="E5" s="4" t="s">
        <v>31</v>
      </c>
      <c r="F5" s="4">
        <v>19</v>
      </c>
      <c r="G5" s="5">
        <v>30</v>
      </c>
      <c r="H5" s="65">
        <v>0</v>
      </c>
      <c r="I5" s="5">
        <v>0</v>
      </c>
      <c r="J5" s="7">
        <v>1</v>
      </c>
      <c r="K5" s="7">
        <v>1</v>
      </c>
      <c r="L5" s="7">
        <v>0</v>
      </c>
      <c r="M5" s="7">
        <v>4</v>
      </c>
      <c r="N5" s="7">
        <v>1</v>
      </c>
      <c r="O5" s="7">
        <v>0</v>
      </c>
      <c r="P5" s="4">
        <v>1</v>
      </c>
      <c r="Q5" s="7">
        <v>0</v>
      </c>
      <c r="R5" s="4">
        <v>4</v>
      </c>
      <c r="S5" s="8"/>
      <c r="T5" s="9" t="s">
        <v>277</v>
      </c>
      <c r="U5" s="10" t="s">
        <v>258</v>
      </c>
      <c r="V5" s="11" t="s">
        <v>276</v>
      </c>
      <c r="W5" s="11" t="s">
        <v>214</v>
      </c>
      <c r="X5" s="12" t="s">
        <v>275</v>
      </c>
      <c r="Y5" s="11">
        <v>1</v>
      </c>
      <c r="Z5" s="11">
        <v>0</v>
      </c>
      <c r="AA5" s="11">
        <v>0</v>
      </c>
      <c r="AB5" s="13">
        <v>1</v>
      </c>
      <c r="AC5" s="11"/>
      <c r="AD5" s="11"/>
      <c r="AE5" s="11"/>
      <c r="AF5" s="13"/>
      <c r="AG5" s="11">
        <v>1</v>
      </c>
      <c r="AH5" s="11">
        <v>0</v>
      </c>
      <c r="AI5" s="11">
        <v>0</v>
      </c>
      <c r="AJ5" s="13">
        <v>1</v>
      </c>
      <c r="AK5" s="11"/>
      <c r="AL5" s="11"/>
      <c r="AM5" s="11"/>
      <c r="AN5" s="13"/>
      <c r="AP5" s="333" t="s">
        <v>190</v>
      </c>
      <c r="AQ5" s="329">
        <f>AB20</f>
        <v>10</v>
      </c>
    </row>
    <row r="6" spans="1:43" ht="17" thickBot="1" x14ac:dyDescent="0.25">
      <c r="A6" s="66" t="s">
        <v>33</v>
      </c>
      <c r="B6" s="67" t="s">
        <v>44</v>
      </c>
      <c r="C6" s="68" t="s">
        <v>83</v>
      </c>
      <c r="D6" s="69" t="s">
        <v>47</v>
      </c>
      <c r="E6" s="69" t="s">
        <v>30</v>
      </c>
      <c r="F6" s="69">
        <v>50</v>
      </c>
      <c r="G6" s="70">
        <v>21</v>
      </c>
      <c r="H6" s="70">
        <v>1</v>
      </c>
      <c r="I6" s="72">
        <v>0</v>
      </c>
      <c r="J6" s="69">
        <v>7</v>
      </c>
      <c r="K6" s="69">
        <v>5</v>
      </c>
      <c r="L6" s="72">
        <v>0</v>
      </c>
      <c r="M6" s="72">
        <v>1</v>
      </c>
      <c r="N6" s="72">
        <v>0</v>
      </c>
      <c r="O6" s="72">
        <v>0</v>
      </c>
      <c r="P6" s="72">
        <v>0</v>
      </c>
      <c r="Q6" s="69">
        <v>0</v>
      </c>
      <c r="R6" s="72">
        <v>3</v>
      </c>
      <c r="S6" s="73"/>
      <c r="T6" s="80" t="s">
        <v>302</v>
      </c>
      <c r="U6" s="76" t="s">
        <v>205</v>
      </c>
      <c r="V6" s="76" t="s">
        <v>199</v>
      </c>
      <c r="W6" s="76" t="s">
        <v>258</v>
      </c>
      <c r="X6" s="75" t="s">
        <v>210</v>
      </c>
      <c r="Y6" s="76">
        <v>1</v>
      </c>
      <c r="Z6" s="76">
        <v>1</v>
      </c>
      <c r="AA6" s="76">
        <v>0</v>
      </c>
      <c r="AB6" s="78">
        <v>0</v>
      </c>
      <c r="AC6" s="76">
        <v>1</v>
      </c>
      <c r="AD6" s="76">
        <v>1</v>
      </c>
      <c r="AE6" s="76">
        <v>0</v>
      </c>
      <c r="AF6" s="78">
        <v>0</v>
      </c>
      <c r="AG6" s="76"/>
      <c r="AH6" s="76"/>
      <c r="AI6" s="76"/>
      <c r="AJ6" s="78"/>
      <c r="AK6" s="76"/>
      <c r="AL6" s="76"/>
      <c r="AM6" s="76"/>
      <c r="AN6" s="78"/>
      <c r="AP6" s="333" t="s">
        <v>191</v>
      </c>
      <c r="AQ6" s="329">
        <f>F20</f>
        <v>335</v>
      </c>
    </row>
    <row r="7" spans="1:43" ht="17" thickBot="1" x14ac:dyDescent="0.25">
      <c r="A7" s="66" t="s">
        <v>96</v>
      </c>
      <c r="B7" s="67" t="s">
        <v>44</v>
      </c>
      <c r="C7" s="68" t="s">
        <v>66</v>
      </c>
      <c r="D7" s="69" t="s">
        <v>47</v>
      </c>
      <c r="E7" s="72" t="s">
        <v>31</v>
      </c>
      <c r="F7" s="69">
        <v>21</v>
      </c>
      <c r="G7" s="70">
        <v>22</v>
      </c>
      <c r="H7" s="71">
        <v>0</v>
      </c>
      <c r="I7" s="69">
        <v>1</v>
      </c>
      <c r="J7" s="72">
        <v>2</v>
      </c>
      <c r="K7" s="72">
        <v>0</v>
      </c>
      <c r="L7" s="72">
        <v>0</v>
      </c>
      <c r="M7" s="72">
        <v>3</v>
      </c>
      <c r="N7" s="72">
        <v>0</v>
      </c>
      <c r="O7" s="72">
        <v>0</v>
      </c>
      <c r="P7" s="72">
        <v>0</v>
      </c>
      <c r="Q7" s="72">
        <v>0</v>
      </c>
      <c r="R7" s="72">
        <v>3</v>
      </c>
      <c r="S7" s="73"/>
      <c r="T7" s="84" t="s">
        <v>322</v>
      </c>
      <c r="U7" s="75" t="s">
        <v>197</v>
      </c>
      <c r="V7" s="76" t="s">
        <v>214</v>
      </c>
      <c r="W7" s="76" t="s">
        <v>241</v>
      </c>
      <c r="X7" s="77" t="s">
        <v>210</v>
      </c>
      <c r="Y7" s="76">
        <v>1</v>
      </c>
      <c r="Z7" s="76">
        <v>0</v>
      </c>
      <c r="AA7" s="76">
        <v>0</v>
      </c>
      <c r="AB7" s="78">
        <v>1</v>
      </c>
      <c r="AC7" s="76">
        <v>1</v>
      </c>
      <c r="AD7" s="76">
        <v>0</v>
      </c>
      <c r="AE7" s="76">
        <v>0</v>
      </c>
      <c r="AF7" s="78">
        <v>1</v>
      </c>
      <c r="AG7" s="76"/>
      <c r="AH7" s="76"/>
      <c r="AI7" s="76"/>
      <c r="AJ7" s="78"/>
      <c r="AK7" s="76"/>
      <c r="AL7" s="76"/>
      <c r="AM7" s="76"/>
      <c r="AN7" s="78"/>
      <c r="AP7" s="333" t="s">
        <v>192</v>
      </c>
      <c r="AQ7" s="329">
        <f>G20</f>
        <v>389</v>
      </c>
    </row>
    <row r="8" spans="1:43" ht="17" thickBot="1" x14ac:dyDescent="0.25">
      <c r="A8" s="1" t="s">
        <v>54</v>
      </c>
      <c r="B8" s="2" t="s">
        <v>44</v>
      </c>
      <c r="C8" s="3" t="s">
        <v>46</v>
      </c>
      <c r="D8" s="4" t="s">
        <v>21</v>
      </c>
      <c r="E8" s="7" t="s">
        <v>31</v>
      </c>
      <c r="F8" s="4">
        <v>3</v>
      </c>
      <c r="G8" s="5">
        <v>25</v>
      </c>
      <c r="H8" s="6">
        <v>0</v>
      </c>
      <c r="I8" s="4">
        <v>0</v>
      </c>
      <c r="J8" s="7">
        <v>0</v>
      </c>
      <c r="K8" s="7">
        <v>0</v>
      </c>
      <c r="L8" s="7">
        <v>0</v>
      </c>
      <c r="M8" s="7">
        <v>1</v>
      </c>
      <c r="N8" s="7">
        <v>0</v>
      </c>
      <c r="O8" s="7">
        <v>0</v>
      </c>
      <c r="P8" s="4">
        <v>0</v>
      </c>
      <c r="Q8" s="7">
        <v>0</v>
      </c>
      <c r="R8" s="7">
        <v>3</v>
      </c>
      <c r="S8" s="8"/>
      <c r="T8" s="14" t="s">
        <v>335</v>
      </c>
      <c r="U8" s="10" t="s">
        <v>199</v>
      </c>
      <c r="V8" s="11" t="s">
        <v>211</v>
      </c>
      <c r="W8" s="11" t="s">
        <v>241</v>
      </c>
      <c r="X8" s="12" t="s">
        <v>202</v>
      </c>
      <c r="Y8" s="11">
        <v>1</v>
      </c>
      <c r="Z8" s="11">
        <v>0</v>
      </c>
      <c r="AA8" s="11">
        <v>0</v>
      </c>
      <c r="AB8" s="13">
        <v>1</v>
      </c>
      <c r="AC8" s="11"/>
      <c r="AD8" s="11"/>
      <c r="AE8" s="11"/>
      <c r="AF8" s="13"/>
      <c r="AG8" s="11">
        <v>1</v>
      </c>
      <c r="AH8" s="11">
        <v>0</v>
      </c>
      <c r="AI8" s="11">
        <v>0</v>
      </c>
      <c r="AJ8" s="13">
        <v>1</v>
      </c>
      <c r="AK8" s="11"/>
      <c r="AL8" s="11"/>
      <c r="AM8" s="11"/>
      <c r="AN8" s="13"/>
      <c r="AP8" s="333" t="s">
        <v>193</v>
      </c>
      <c r="AQ8" s="329">
        <f>J20</f>
        <v>40</v>
      </c>
    </row>
    <row r="9" spans="1:43" ht="17" thickBot="1" x14ac:dyDescent="0.25">
      <c r="A9" s="1" t="s">
        <v>35</v>
      </c>
      <c r="B9" s="2" t="s">
        <v>44</v>
      </c>
      <c r="C9" s="3" t="s">
        <v>49</v>
      </c>
      <c r="D9" s="4" t="s">
        <v>21</v>
      </c>
      <c r="E9" s="7" t="s">
        <v>30</v>
      </c>
      <c r="F9" s="4">
        <v>42</v>
      </c>
      <c r="G9" s="5">
        <v>27</v>
      </c>
      <c r="H9" s="6">
        <v>1</v>
      </c>
      <c r="I9" s="7">
        <v>0</v>
      </c>
      <c r="J9" s="7">
        <v>5</v>
      </c>
      <c r="K9" s="7">
        <v>3</v>
      </c>
      <c r="L9" s="7">
        <v>0</v>
      </c>
      <c r="M9" s="7">
        <v>3</v>
      </c>
      <c r="N9" s="7">
        <v>2</v>
      </c>
      <c r="O9" s="7">
        <v>0</v>
      </c>
      <c r="P9" s="7">
        <v>1</v>
      </c>
      <c r="Q9" s="7">
        <v>0</v>
      </c>
      <c r="R9" s="7">
        <v>4</v>
      </c>
      <c r="S9" s="8"/>
      <c r="T9" s="15" t="s">
        <v>351</v>
      </c>
      <c r="U9" s="10" t="s">
        <v>215</v>
      </c>
      <c r="V9" s="11" t="s">
        <v>207</v>
      </c>
      <c r="W9" s="11" t="s">
        <v>205</v>
      </c>
      <c r="X9" s="12" t="s">
        <v>200</v>
      </c>
      <c r="Y9" s="11">
        <v>1</v>
      </c>
      <c r="Z9" s="11">
        <v>1</v>
      </c>
      <c r="AA9" s="11">
        <v>0</v>
      </c>
      <c r="AB9" s="13">
        <v>0</v>
      </c>
      <c r="AC9" s="11"/>
      <c r="AD9" s="11"/>
      <c r="AE9" s="11"/>
      <c r="AF9" s="13"/>
      <c r="AG9" s="11">
        <v>1</v>
      </c>
      <c r="AH9" s="11">
        <v>1</v>
      </c>
      <c r="AI9" s="11">
        <v>0</v>
      </c>
      <c r="AJ9" s="13">
        <v>0</v>
      </c>
      <c r="AK9" s="11"/>
      <c r="AL9" s="11"/>
      <c r="AM9" s="11"/>
      <c r="AN9" s="13"/>
      <c r="AP9" s="333" t="s">
        <v>194</v>
      </c>
      <c r="AQ9" s="329">
        <f>R20</f>
        <v>51</v>
      </c>
    </row>
    <row r="10" spans="1:43" ht="17" thickBot="1" x14ac:dyDescent="0.25">
      <c r="A10" s="66" t="s">
        <v>93</v>
      </c>
      <c r="B10" s="67" t="s">
        <v>44</v>
      </c>
      <c r="C10" s="68" t="s">
        <v>51</v>
      </c>
      <c r="D10" s="69" t="s">
        <v>47</v>
      </c>
      <c r="E10" s="69" t="s">
        <v>31</v>
      </c>
      <c r="F10" s="69">
        <v>17</v>
      </c>
      <c r="G10" s="70">
        <v>38</v>
      </c>
      <c r="H10" s="71">
        <v>0</v>
      </c>
      <c r="I10" s="72">
        <v>0</v>
      </c>
      <c r="J10" s="72">
        <v>3</v>
      </c>
      <c r="K10" s="72">
        <v>1</v>
      </c>
      <c r="L10" s="72">
        <v>0</v>
      </c>
      <c r="M10" s="72">
        <v>0</v>
      </c>
      <c r="N10" s="69">
        <v>0</v>
      </c>
      <c r="O10" s="72">
        <v>0</v>
      </c>
      <c r="P10" s="72">
        <v>1</v>
      </c>
      <c r="Q10" s="69">
        <v>0</v>
      </c>
      <c r="R10" s="72">
        <v>6</v>
      </c>
      <c r="S10" s="73"/>
      <c r="T10" s="74" t="s">
        <v>361</v>
      </c>
      <c r="U10" s="75" t="s">
        <v>214</v>
      </c>
      <c r="V10" s="76" t="s">
        <v>276</v>
      </c>
      <c r="W10" s="76" t="s">
        <v>254</v>
      </c>
      <c r="X10" s="77" t="s">
        <v>210</v>
      </c>
      <c r="Y10" s="76">
        <v>1</v>
      </c>
      <c r="Z10" s="76">
        <v>0</v>
      </c>
      <c r="AA10" s="76">
        <v>0</v>
      </c>
      <c r="AB10" s="78">
        <v>1</v>
      </c>
      <c r="AC10" s="76">
        <v>1</v>
      </c>
      <c r="AD10" s="76">
        <v>0</v>
      </c>
      <c r="AE10" s="76">
        <v>0</v>
      </c>
      <c r="AF10" s="78">
        <v>1</v>
      </c>
      <c r="AG10" s="76"/>
      <c r="AH10" s="76"/>
      <c r="AI10" s="76"/>
      <c r="AJ10" s="78"/>
      <c r="AK10" s="76"/>
      <c r="AL10" s="76"/>
      <c r="AM10" s="76"/>
      <c r="AN10" s="78"/>
    </row>
    <row r="11" spans="1:43" ht="17" thickBot="1" x14ac:dyDescent="0.25">
      <c r="A11" s="1" t="s">
        <v>59</v>
      </c>
      <c r="B11" s="2" t="s">
        <v>44</v>
      </c>
      <c r="C11" s="3" t="s">
        <v>53</v>
      </c>
      <c r="D11" s="4" t="s">
        <v>21</v>
      </c>
      <c r="E11" s="4" t="s">
        <v>31</v>
      </c>
      <c r="F11" s="4">
        <v>10</v>
      </c>
      <c r="G11" s="5">
        <v>13</v>
      </c>
      <c r="H11" s="6">
        <v>0</v>
      </c>
      <c r="I11" s="7">
        <v>1</v>
      </c>
      <c r="J11" s="7">
        <v>1</v>
      </c>
      <c r="K11" s="7">
        <v>0</v>
      </c>
      <c r="L11" s="7">
        <v>0</v>
      </c>
      <c r="M11" s="7">
        <v>1</v>
      </c>
      <c r="N11" s="7">
        <v>3</v>
      </c>
      <c r="O11" s="7">
        <v>0</v>
      </c>
      <c r="P11" s="7">
        <v>0</v>
      </c>
      <c r="Q11" s="4">
        <v>0</v>
      </c>
      <c r="R11" s="7">
        <v>2</v>
      </c>
      <c r="S11" s="8"/>
      <c r="T11" s="19" t="s">
        <v>375</v>
      </c>
      <c r="U11" s="10" t="s">
        <v>212</v>
      </c>
      <c r="V11" s="11" t="s">
        <v>297</v>
      </c>
      <c r="W11" s="11" t="s">
        <v>197</v>
      </c>
      <c r="X11" s="12" t="s">
        <v>337</v>
      </c>
      <c r="Y11" s="11">
        <v>1</v>
      </c>
      <c r="Z11" s="11">
        <v>0</v>
      </c>
      <c r="AA11" s="11">
        <v>0</v>
      </c>
      <c r="AB11" s="13">
        <v>1</v>
      </c>
      <c r="AC11" s="11"/>
      <c r="AD11" s="11"/>
      <c r="AE11" s="11"/>
      <c r="AF11" s="13"/>
      <c r="AG11" s="11">
        <v>1</v>
      </c>
      <c r="AH11" s="11">
        <v>0</v>
      </c>
      <c r="AI11" s="11">
        <v>0</v>
      </c>
      <c r="AJ11" s="13">
        <v>1</v>
      </c>
      <c r="AK11" s="11"/>
      <c r="AL11" s="11"/>
      <c r="AM11" s="11"/>
      <c r="AN11" s="13"/>
    </row>
    <row r="12" spans="1:43" ht="17" thickBot="1" x14ac:dyDescent="0.25">
      <c r="A12" s="81" t="s">
        <v>97</v>
      </c>
      <c r="B12" s="67" t="s">
        <v>44</v>
      </c>
      <c r="C12" s="68" t="s">
        <v>55</v>
      </c>
      <c r="D12" s="69" t="s">
        <v>47</v>
      </c>
      <c r="E12" s="69" t="s">
        <v>30</v>
      </c>
      <c r="F12" s="69">
        <v>20</v>
      </c>
      <c r="G12" s="70">
        <v>19</v>
      </c>
      <c r="H12" s="71">
        <v>0</v>
      </c>
      <c r="I12" s="72">
        <v>0</v>
      </c>
      <c r="J12" s="72">
        <v>2</v>
      </c>
      <c r="K12" s="72">
        <v>1</v>
      </c>
      <c r="L12" s="72">
        <v>0</v>
      </c>
      <c r="M12" s="72">
        <v>2</v>
      </c>
      <c r="N12" s="69">
        <v>4</v>
      </c>
      <c r="O12" s="72">
        <v>0</v>
      </c>
      <c r="P12" s="72">
        <v>0</v>
      </c>
      <c r="Q12" s="72">
        <v>1</v>
      </c>
      <c r="R12" s="72">
        <v>3</v>
      </c>
      <c r="S12" s="82"/>
      <c r="T12" s="80" t="s">
        <v>343</v>
      </c>
      <c r="U12" s="75" t="s">
        <v>197</v>
      </c>
      <c r="V12" s="76" t="s">
        <v>207</v>
      </c>
      <c r="W12" s="76" t="s">
        <v>254</v>
      </c>
      <c r="X12" s="77" t="s">
        <v>210</v>
      </c>
      <c r="Y12" s="76">
        <v>1</v>
      </c>
      <c r="Z12" s="76">
        <v>1</v>
      </c>
      <c r="AA12" s="76">
        <v>0</v>
      </c>
      <c r="AB12" s="78">
        <v>0</v>
      </c>
      <c r="AC12" s="76">
        <v>1</v>
      </c>
      <c r="AD12" s="76">
        <v>1</v>
      </c>
      <c r="AE12" s="76">
        <v>0</v>
      </c>
      <c r="AF12" s="78">
        <v>0</v>
      </c>
      <c r="AG12" s="76"/>
      <c r="AH12" s="76"/>
      <c r="AI12" s="76"/>
      <c r="AJ12" s="78"/>
      <c r="AK12" s="76"/>
      <c r="AL12" s="76"/>
      <c r="AM12" s="76"/>
      <c r="AN12" s="78"/>
    </row>
    <row r="13" spans="1:43" ht="17" thickBot="1" x14ac:dyDescent="0.25">
      <c r="A13" s="81" t="s">
        <v>86</v>
      </c>
      <c r="B13" s="67" t="s">
        <v>44</v>
      </c>
      <c r="C13" s="68" t="s">
        <v>46</v>
      </c>
      <c r="D13" s="69" t="s">
        <v>47</v>
      </c>
      <c r="E13" s="69" t="s">
        <v>30</v>
      </c>
      <c r="F13" s="69">
        <v>15</v>
      </c>
      <c r="G13" s="70">
        <v>13</v>
      </c>
      <c r="H13" s="71">
        <v>0</v>
      </c>
      <c r="I13" s="72">
        <v>0</v>
      </c>
      <c r="J13" s="72">
        <v>2</v>
      </c>
      <c r="K13" s="72">
        <v>0</v>
      </c>
      <c r="L13" s="72">
        <v>0</v>
      </c>
      <c r="M13" s="72">
        <v>1</v>
      </c>
      <c r="N13" s="72">
        <v>2</v>
      </c>
      <c r="O13" s="72">
        <v>0</v>
      </c>
      <c r="P13" s="72">
        <v>0</v>
      </c>
      <c r="Q13" s="72">
        <v>1</v>
      </c>
      <c r="R13" s="72">
        <v>1</v>
      </c>
      <c r="S13" s="82"/>
      <c r="T13" s="80" t="s">
        <v>282</v>
      </c>
      <c r="U13" s="75" t="s">
        <v>389</v>
      </c>
      <c r="V13" s="76" t="s">
        <v>199</v>
      </c>
      <c r="W13" s="76" t="s">
        <v>209</v>
      </c>
      <c r="X13" s="77" t="s">
        <v>210</v>
      </c>
      <c r="Y13" s="76">
        <v>1</v>
      </c>
      <c r="Z13" s="76">
        <v>1</v>
      </c>
      <c r="AA13" s="76">
        <v>0</v>
      </c>
      <c r="AB13" s="78">
        <v>0</v>
      </c>
      <c r="AC13" s="76">
        <v>1</v>
      </c>
      <c r="AD13" s="76">
        <v>1</v>
      </c>
      <c r="AE13" s="76">
        <v>0</v>
      </c>
      <c r="AF13" s="78">
        <v>0</v>
      </c>
      <c r="AG13" s="76"/>
      <c r="AH13" s="76"/>
      <c r="AI13" s="76"/>
      <c r="AJ13" s="78"/>
      <c r="AK13" s="76"/>
      <c r="AL13" s="76"/>
      <c r="AM13" s="76"/>
      <c r="AN13" s="78"/>
    </row>
    <row r="14" spans="1:43" ht="17" thickBot="1" x14ac:dyDescent="0.25">
      <c r="A14" s="16" t="s">
        <v>64</v>
      </c>
      <c r="B14" s="2" t="s">
        <v>44</v>
      </c>
      <c r="C14" s="3" t="s">
        <v>63</v>
      </c>
      <c r="D14" s="4" t="s">
        <v>21</v>
      </c>
      <c r="E14" s="4" t="s">
        <v>31</v>
      </c>
      <c r="F14" s="4">
        <v>15</v>
      </c>
      <c r="G14" s="5">
        <v>45</v>
      </c>
      <c r="H14" s="6">
        <v>0</v>
      </c>
      <c r="I14" s="7">
        <v>0</v>
      </c>
      <c r="J14" s="7">
        <v>3</v>
      </c>
      <c r="K14" s="7">
        <v>0</v>
      </c>
      <c r="L14" s="7">
        <v>0</v>
      </c>
      <c r="M14" s="7">
        <v>0</v>
      </c>
      <c r="N14" s="7">
        <v>1</v>
      </c>
      <c r="O14" s="7">
        <v>0</v>
      </c>
      <c r="P14" s="7">
        <v>1</v>
      </c>
      <c r="Q14" s="7">
        <v>0</v>
      </c>
      <c r="R14" s="7">
        <v>6</v>
      </c>
      <c r="S14" s="17"/>
      <c r="T14" s="18" t="s">
        <v>425</v>
      </c>
      <c r="U14" s="10" t="s">
        <v>410</v>
      </c>
      <c r="V14" s="11" t="s">
        <v>204</v>
      </c>
      <c r="W14" s="11" t="s">
        <v>281</v>
      </c>
      <c r="X14" s="12" t="s">
        <v>213</v>
      </c>
      <c r="Y14" s="11">
        <v>1</v>
      </c>
      <c r="Z14" s="11">
        <v>0</v>
      </c>
      <c r="AA14" s="11">
        <v>0</v>
      </c>
      <c r="AB14" s="13">
        <v>1</v>
      </c>
      <c r="AC14" s="11"/>
      <c r="AD14" s="11"/>
      <c r="AE14" s="11"/>
      <c r="AF14" s="13"/>
      <c r="AG14" s="11">
        <v>1</v>
      </c>
      <c r="AH14" s="11">
        <v>0</v>
      </c>
      <c r="AI14" s="11">
        <v>0</v>
      </c>
      <c r="AJ14" s="13">
        <v>1</v>
      </c>
      <c r="AK14" s="11"/>
      <c r="AL14" s="11"/>
      <c r="AM14" s="11"/>
      <c r="AN14" s="13"/>
    </row>
    <row r="15" spans="1:43" ht="17" thickBot="1" x14ac:dyDescent="0.25">
      <c r="A15" s="81" t="s">
        <v>65</v>
      </c>
      <c r="B15" s="67" t="s">
        <v>44</v>
      </c>
      <c r="C15" s="68" t="s">
        <v>49</v>
      </c>
      <c r="D15" s="69" t="s">
        <v>47</v>
      </c>
      <c r="E15" s="69" t="s">
        <v>31</v>
      </c>
      <c r="F15" s="69">
        <v>13</v>
      </c>
      <c r="G15" s="70">
        <v>20</v>
      </c>
      <c r="H15" s="71">
        <v>0</v>
      </c>
      <c r="I15" s="72">
        <v>1</v>
      </c>
      <c r="J15" s="72">
        <v>1</v>
      </c>
      <c r="K15" s="72">
        <v>1</v>
      </c>
      <c r="L15" s="72">
        <v>0</v>
      </c>
      <c r="M15" s="72">
        <v>2</v>
      </c>
      <c r="N15" s="72">
        <v>0</v>
      </c>
      <c r="O15" s="72">
        <v>0</v>
      </c>
      <c r="P15" s="72">
        <v>0</v>
      </c>
      <c r="Q15" s="72">
        <v>0</v>
      </c>
      <c r="R15" s="72">
        <v>2</v>
      </c>
      <c r="S15" s="82"/>
      <c r="T15" s="84" t="s">
        <v>378</v>
      </c>
      <c r="U15" s="75" t="s">
        <v>214</v>
      </c>
      <c r="V15" s="76" t="s">
        <v>211</v>
      </c>
      <c r="W15" s="76" t="s">
        <v>254</v>
      </c>
      <c r="X15" s="77" t="s">
        <v>210</v>
      </c>
      <c r="Y15" s="76">
        <v>1</v>
      </c>
      <c r="Z15" s="76">
        <v>0</v>
      </c>
      <c r="AA15" s="76">
        <v>0</v>
      </c>
      <c r="AB15" s="78">
        <v>1</v>
      </c>
      <c r="AC15" s="76">
        <v>1</v>
      </c>
      <c r="AD15" s="76">
        <v>0</v>
      </c>
      <c r="AE15" s="76">
        <v>0</v>
      </c>
      <c r="AF15" s="78">
        <v>1</v>
      </c>
      <c r="AG15" s="76"/>
      <c r="AH15" s="76"/>
      <c r="AI15" s="76"/>
      <c r="AJ15" s="78"/>
      <c r="AK15" s="76"/>
      <c r="AL15" s="76"/>
      <c r="AM15" s="76"/>
      <c r="AN15" s="78"/>
    </row>
    <row r="16" spans="1:43" ht="17" thickBot="1" x14ac:dyDescent="0.25">
      <c r="A16" s="16" t="s">
        <v>67</v>
      </c>
      <c r="B16" s="2" t="s">
        <v>44</v>
      </c>
      <c r="C16" s="3" t="s">
        <v>83</v>
      </c>
      <c r="D16" s="4" t="s">
        <v>21</v>
      </c>
      <c r="E16" s="4" t="s">
        <v>30</v>
      </c>
      <c r="F16" s="4">
        <v>30</v>
      </c>
      <c r="G16" s="5">
        <v>14</v>
      </c>
      <c r="H16" s="6">
        <v>1</v>
      </c>
      <c r="I16" s="7">
        <v>0</v>
      </c>
      <c r="J16" s="7">
        <v>4</v>
      </c>
      <c r="K16" s="7">
        <v>1</v>
      </c>
      <c r="L16" s="7">
        <v>0</v>
      </c>
      <c r="M16" s="7">
        <v>2</v>
      </c>
      <c r="N16" s="7">
        <v>0</v>
      </c>
      <c r="O16" s="7">
        <v>0</v>
      </c>
      <c r="P16" s="7">
        <v>0</v>
      </c>
      <c r="Q16" s="7">
        <v>0</v>
      </c>
      <c r="R16" s="7">
        <v>2</v>
      </c>
      <c r="S16" s="17"/>
      <c r="T16" s="15" t="s">
        <v>447</v>
      </c>
      <c r="U16" s="10" t="s">
        <v>201</v>
      </c>
      <c r="V16" s="11" t="s">
        <v>199</v>
      </c>
      <c r="W16" s="11" t="s">
        <v>205</v>
      </c>
      <c r="X16" s="11" t="s">
        <v>442</v>
      </c>
      <c r="Y16" s="11">
        <v>1</v>
      </c>
      <c r="Z16" s="11">
        <v>1</v>
      </c>
      <c r="AA16" s="11">
        <v>0</v>
      </c>
      <c r="AB16" s="13">
        <v>0</v>
      </c>
      <c r="AC16" s="11"/>
      <c r="AD16" s="11"/>
      <c r="AE16" s="11"/>
      <c r="AF16" s="13"/>
      <c r="AG16" s="11">
        <v>1</v>
      </c>
      <c r="AH16" s="11">
        <v>1</v>
      </c>
      <c r="AI16" s="11">
        <v>0</v>
      </c>
      <c r="AJ16" s="13">
        <v>0</v>
      </c>
      <c r="AK16" s="11"/>
      <c r="AL16" s="11"/>
      <c r="AM16" s="11"/>
      <c r="AN16" s="13"/>
    </row>
    <row r="17" spans="1:40" ht="17" thickBot="1" x14ac:dyDescent="0.25">
      <c r="A17" s="81" t="s">
        <v>68</v>
      </c>
      <c r="B17" s="67" t="s">
        <v>44</v>
      </c>
      <c r="C17" s="68" t="s">
        <v>53</v>
      </c>
      <c r="D17" s="69" t="s">
        <v>47</v>
      </c>
      <c r="E17" s="69" t="s">
        <v>30</v>
      </c>
      <c r="F17" s="69">
        <v>17</v>
      </c>
      <c r="G17" s="70">
        <v>12</v>
      </c>
      <c r="H17" s="71">
        <v>0</v>
      </c>
      <c r="I17" s="72">
        <v>0</v>
      </c>
      <c r="J17" s="72">
        <v>2</v>
      </c>
      <c r="K17" s="72">
        <v>1</v>
      </c>
      <c r="L17" s="72">
        <v>0</v>
      </c>
      <c r="M17" s="72">
        <v>1</v>
      </c>
      <c r="N17" s="69">
        <v>0</v>
      </c>
      <c r="O17" s="72">
        <v>0</v>
      </c>
      <c r="P17" s="72">
        <v>0</v>
      </c>
      <c r="Q17" s="72">
        <v>1</v>
      </c>
      <c r="R17" s="72">
        <v>2</v>
      </c>
      <c r="S17" s="73"/>
      <c r="T17" s="80" t="s">
        <v>366</v>
      </c>
      <c r="U17" s="76" t="s">
        <v>430</v>
      </c>
      <c r="V17" s="76" t="s">
        <v>297</v>
      </c>
      <c r="W17" s="76" t="s">
        <v>273</v>
      </c>
      <c r="X17" s="76" t="s">
        <v>210</v>
      </c>
      <c r="Y17" s="76">
        <v>1</v>
      </c>
      <c r="Z17" s="76">
        <v>1</v>
      </c>
      <c r="AA17" s="76">
        <v>0</v>
      </c>
      <c r="AB17" s="78">
        <v>0</v>
      </c>
      <c r="AC17" s="76">
        <v>1</v>
      </c>
      <c r="AD17" s="76">
        <v>1</v>
      </c>
      <c r="AE17" s="76">
        <v>0</v>
      </c>
      <c r="AF17" s="78">
        <v>0</v>
      </c>
      <c r="AG17" s="76"/>
      <c r="AH17" s="76"/>
      <c r="AI17" s="76"/>
      <c r="AJ17" s="78"/>
      <c r="AK17" s="76"/>
      <c r="AL17" s="76"/>
      <c r="AM17" s="76"/>
      <c r="AN17" s="78"/>
    </row>
    <row r="18" spans="1:40" ht="17" thickBot="1" x14ac:dyDescent="0.25">
      <c r="A18" s="16" t="s">
        <v>89</v>
      </c>
      <c r="B18" s="2" t="s">
        <v>44</v>
      </c>
      <c r="C18" s="20" t="s">
        <v>57</v>
      </c>
      <c r="D18" s="21" t="s">
        <v>21</v>
      </c>
      <c r="E18" s="21" t="s">
        <v>31</v>
      </c>
      <c r="F18" s="22">
        <v>26</v>
      </c>
      <c r="G18" s="23">
        <v>38</v>
      </c>
      <c r="H18" s="24">
        <v>1</v>
      </c>
      <c r="I18" s="25">
        <v>0</v>
      </c>
      <c r="J18" s="25">
        <v>4</v>
      </c>
      <c r="K18" s="25">
        <v>3</v>
      </c>
      <c r="L18" s="25">
        <v>0</v>
      </c>
      <c r="M18" s="25">
        <v>0</v>
      </c>
      <c r="N18" s="25">
        <v>2</v>
      </c>
      <c r="O18" s="25">
        <v>0</v>
      </c>
      <c r="P18" s="25">
        <v>1</v>
      </c>
      <c r="Q18" s="25">
        <v>0</v>
      </c>
      <c r="R18" s="25">
        <v>6</v>
      </c>
      <c r="S18" s="26"/>
      <c r="T18" s="27" t="s">
        <v>471</v>
      </c>
      <c r="U18" s="28" t="s">
        <v>214</v>
      </c>
      <c r="V18" s="28" t="s">
        <v>337</v>
      </c>
      <c r="W18" s="28" t="s">
        <v>208</v>
      </c>
      <c r="X18" s="29" t="s">
        <v>296</v>
      </c>
      <c r="Y18" s="28">
        <v>1</v>
      </c>
      <c r="Z18" s="28">
        <v>0</v>
      </c>
      <c r="AA18" s="28">
        <v>0</v>
      </c>
      <c r="AB18" s="30">
        <v>1</v>
      </c>
      <c r="AC18" s="28"/>
      <c r="AD18" s="28"/>
      <c r="AE18" s="28"/>
      <c r="AF18" s="30"/>
      <c r="AG18" s="28">
        <v>1</v>
      </c>
      <c r="AH18" s="28">
        <v>0</v>
      </c>
      <c r="AI18" s="28">
        <v>0</v>
      </c>
      <c r="AJ18" s="30">
        <v>1</v>
      </c>
      <c r="AK18" s="28"/>
      <c r="AL18" s="28"/>
      <c r="AM18" s="28"/>
      <c r="AN18" s="30"/>
    </row>
    <row r="19" spans="1:40" ht="17" thickBot="1" x14ac:dyDescent="0.25">
      <c r="A19" s="33"/>
      <c r="B19" s="34"/>
      <c r="C19" s="425" t="s">
        <v>40</v>
      </c>
      <c r="D19" s="426"/>
      <c r="E19" s="427"/>
      <c r="F19" s="38">
        <f t="shared" ref="F19:R19" si="0">SUM(F3+F4+F5+F6+F7+F8+F9+F10+F11+F12+F13+F14+F15+F16+F17+F18)</f>
        <v>335</v>
      </c>
      <c r="G19" s="38">
        <f t="shared" si="0"/>
        <v>389</v>
      </c>
      <c r="H19" s="38">
        <f t="shared" si="0"/>
        <v>4</v>
      </c>
      <c r="I19" s="38">
        <f t="shared" si="0"/>
        <v>4</v>
      </c>
      <c r="J19" s="38">
        <f t="shared" si="0"/>
        <v>40</v>
      </c>
      <c r="K19" s="38">
        <f t="shared" si="0"/>
        <v>19</v>
      </c>
      <c r="L19" s="38">
        <f t="shared" si="0"/>
        <v>0</v>
      </c>
      <c r="M19" s="38">
        <f t="shared" si="0"/>
        <v>27</v>
      </c>
      <c r="N19" s="38">
        <f t="shared" si="0"/>
        <v>18</v>
      </c>
      <c r="O19" s="38">
        <f t="shared" si="0"/>
        <v>0</v>
      </c>
      <c r="P19" s="38">
        <f t="shared" si="0"/>
        <v>5</v>
      </c>
      <c r="Q19" s="38">
        <f t="shared" si="0"/>
        <v>3</v>
      </c>
      <c r="R19" s="38">
        <f t="shared" si="0"/>
        <v>51</v>
      </c>
      <c r="S19" s="39"/>
      <c r="T19" s="39"/>
      <c r="U19" s="39"/>
      <c r="V19" s="39"/>
      <c r="W19" s="40"/>
      <c r="X19" s="41" t="s">
        <v>40</v>
      </c>
      <c r="Y19" s="38">
        <f t="shared" ref="Y19:AN19" si="1">Y3+Y4+Y5+Y6+Y7+Y8+Y9+Y10+Y11+Y12+Y13+Y14+Y15+Y16+Y17+Y18</f>
        <v>16</v>
      </c>
      <c r="Z19" s="38">
        <f t="shared" si="1"/>
        <v>6</v>
      </c>
      <c r="AA19" s="38">
        <f t="shared" si="1"/>
        <v>0</v>
      </c>
      <c r="AB19" s="38">
        <f t="shared" si="1"/>
        <v>10</v>
      </c>
      <c r="AC19" s="32">
        <f t="shared" si="1"/>
        <v>8</v>
      </c>
      <c r="AD19" s="32">
        <f t="shared" si="1"/>
        <v>4</v>
      </c>
      <c r="AE19" s="32">
        <f t="shared" si="1"/>
        <v>0</v>
      </c>
      <c r="AF19" s="32">
        <f t="shared" si="1"/>
        <v>4</v>
      </c>
      <c r="AG19" s="31">
        <f t="shared" si="1"/>
        <v>8</v>
      </c>
      <c r="AH19" s="31">
        <f t="shared" si="1"/>
        <v>2</v>
      </c>
      <c r="AI19" s="31">
        <f t="shared" si="1"/>
        <v>0</v>
      </c>
      <c r="AJ19" s="31">
        <f t="shared" si="1"/>
        <v>6</v>
      </c>
      <c r="AK19" s="38">
        <f t="shared" si="1"/>
        <v>0</v>
      </c>
      <c r="AL19" s="38">
        <f t="shared" si="1"/>
        <v>0</v>
      </c>
      <c r="AM19" s="38">
        <f t="shared" si="1"/>
        <v>0</v>
      </c>
      <c r="AN19" s="38">
        <f t="shared" si="1"/>
        <v>0</v>
      </c>
    </row>
    <row r="20" spans="1:40" ht="17" thickBot="1" x14ac:dyDescent="0.25">
      <c r="A20" s="33"/>
      <c r="B20" s="34"/>
      <c r="C20" s="425" t="s">
        <v>42</v>
      </c>
      <c r="D20" s="431"/>
      <c r="E20" s="432"/>
      <c r="F20" s="42">
        <f>F19</f>
        <v>335</v>
      </c>
      <c r="G20" s="42">
        <f t="shared" ref="G20:R20" si="2">G19</f>
        <v>389</v>
      </c>
      <c r="H20" s="42">
        <f t="shared" si="2"/>
        <v>4</v>
      </c>
      <c r="I20" s="42">
        <f t="shared" si="2"/>
        <v>4</v>
      </c>
      <c r="J20" s="42">
        <f t="shared" si="2"/>
        <v>40</v>
      </c>
      <c r="K20" s="42">
        <f t="shared" si="2"/>
        <v>19</v>
      </c>
      <c r="L20" s="42">
        <f t="shared" si="2"/>
        <v>0</v>
      </c>
      <c r="M20" s="42">
        <f t="shared" si="2"/>
        <v>27</v>
      </c>
      <c r="N20" s="42">
        <f t="shared" si="2"/>
        <v>18</v>
      </c>
      <c r="O20" s="42">
        <f t="shared" si="2"/>
        <v>0</v>
      </c>
      <c r="P20" s="42">
        <f t="shared" si="2"/>
        <v>5</v>
      </c>
      <c r="Q20" s="42">
        <f t="shared" si="2"/>
        <v>3</v>
      </c>
      <c r="R20" s="42">
        <f t="shared" si="2"/>
        <v>51</v>
      </c>
      <c r="S20" s="39"/>
      <c r="T20" s="39"/>
      <c r="U20" s="39"/>
      <c r="V20" s="39"/>
      <c r="W20" s="40"/>
      <c r="X20" s="41" t="s">
        <v>42</v>
      </c>
      <c r="Y20" s="38">
        <f>Y19</f>
        <v>16</v>
      </c>
      <c r="Z20" s="38">
        <f t="shared" ref="Z20:AN20" si="3">Z19</f>
        <v>6</v>
      </c>
      <c r="AA20" s="38">
        <f t="shared" si="3"/>
        <v>0</v>
      </c>
      <c r="AB20" s="38">
        <f t="shared" si="3"/>
        <v>10</v>
      </c>
      <c r="AC20" s="32">
        <f t="shared" si="3"/>
        <v>8</v>
      </c>
      <c r="AD20" s="32">
        <f t="shared" si="3"/>
        <v>4</v>
      </c>
      <c r="AE20" s="32">
        <f t="shared" si="3"/>
        <v>0</v>
      </c>
      <c r="AF20" s="32">
        <f t="shared" si="3"/>
        <v>4</v>
      </c>
      <c r="AG20" s="31">
        <f t="shared" si="3"/>
        <v>8</v>
      </c>
      <c r="AH20" s="31">
        <f t="shared" si="3"/>
        <v>2</v>
      </c>
      <c r="AI20" s="31">
        <f t="shared" si="3"/>
        <v>0</v>
      </c>
      <c r="AJ20" s="31">
        <f t="shared" si="3"/>
        <v>6</v>
      </c>
      <c r="AK20" s="38">
        <f t="shared" si="3"/>
        <v>0</v>
      </c>
      <c r="AL20" s="38">
        <f t="shared" si="3"/>
        <v>0</v>
      </c>
      <c r="AM20" s="38">
        <f t="shared" si="3"/>
        <v>0</v>
      </c>
      <c r="AN20" s="38">
        <f t="shared" si="3"/>
        <v>0</v>
      </c>
    </row>
    <row r="22" spans="1:40" x14ac:dyDescent="0.2">
      <c r="A22" s="178" t="s">
        <v>429</v>
      </c>
    </row>
  </sheetData>
  <mergeCells count="13">
    <mergeCell ref="AP1:AQ1"/>
    <mergeCell ref="C20:E20"/>
    <mergeCell ref="A1:D1"/>
    <mergeCell ref="E1:G1"/>
    <mergeCell ref="H1:I1"/>
    <mergeCell ref="J1:M1"/>
    <mergeCell ref="Y1:AB1"/>
    <mergeCell ref="AC1:AF1"/>
    <mergeCell ref="AG1:AJ1"/>
    <mergeCell ref="AK1:AN1"/>
    <mergeCell ref="C19:E19"/>
    <mergeCell ref="N1:O1"/>
    <mergeCell ref="P1:R1"/>
  </mergeCells>
  <pageMargins left="0.7" right="0.7" top="0.75" bottom="0.75" header="0.3" footer="0.3"/>
  <ignoredErrors>
    <ignoredError sqref="T3" twoDigitTextYea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96336-DBA4-8B4E-8687-59198A867D26}">
  <dimension ref="A1:AQ26"/>
  <sheetViews>
    <sheetView zoomScale="80" zoomScaleNormal="80" workbookViewId="0">
      <selection sqref="A1:D1"/>
    </sheetView>
  </sheetViews>
  <sheetFormatPr baseColWidth="10" defaultColWidth="11.5" defaultRowHeight="16" x14ac:dyDescent="0.2"/>
  <cols>
    <col min="1" max="1" width="6.5" bestFit="1" customWidth="1"/>
    <col min="2" max="2" width="6" bestFit="1" customWidth="1"/>
    <col min="3" max="3" width="12" customWidth="1"/>
    <col min="4" max="4" width="4.83203125" customWidth="1"/>
    <col min="5" max="7" width="4.6640625" customWidth="1"/>
    <col min="8" max="18" width="4.83203125" customWidth="1"/>
    <col min="19" max="19" width="7" customWidth="1"/>
    <col min="20" max="20" width="6.83203125" customWidth="1"/>
    <col min="21" max="21" width="24" bestFit="1" customWidth="1"/>
    <col min="22" max="23" width="29" bestFit="1" customWidth="1"/>
    <col min="24" max="24" width="24" bestFit="1" customWidth="1"/>
    <col min="25" max="40" width="4.83203125" customWidth="1"/>
    <col min="42" max="42" width="14.5" bestFit="1" customWidth="1"/>
  </cols>
  <sheetData>
    <row r="1" spans="1:43" ht="17" thickBot="1" x14ac:dyDescent="0.25">
      <c r="A1" s="496" t="s">
        <v>74</v>
      </c>
      <c r="B1" s="497"/>
      <c r="C1" s="497"/>
      <c r="D1" s="498"/>
      <c r="E1" s="499" t="s">
        <v>0</v>
      </c>
      <c r="F1" s="500"/>
      <c r="G1" s="501"/>
      <c r="H1" s="499" t="s">
        <v>1</v>
      </c>
      <c r="I1" s="501"/>
      <c r="J1" s="502" t="s">
        <v>2</v>
      </c>
      <c r="K1" s="503"/>
      <c r="L1" s="503"/>
      <c r="M1" s="504"/>
      <c r="N1" s="502" t="s">
        <v>3</v>
      </c>
      <c r="O1" s="504"/>
      <c r="P1" s="502" t="s">
        <v>4</v>
      </c>
      <c r="Q1" s="503"/>
      <c r="R1" s="504"/>
      <c r="S1" s="85" t="s">
        <v>5</v>
      </c>
      <c r="T1" s="85" t="s">
        <v>6</v>
      </c>
      <c r="U1" s="86" t="s">
        <v>7</v>
      </c>
      <c r="V1" s="87" t="s">
        <v>8</v>
      </c>
      <c r="W1" s="87" t="s">
        <v>9</v>
      </c>
      <c r="X1" s="88" t="s">
        <v>10</v>
      </c>
      <c r="Y1" s="505" t="s">
        <v>11</v>
      </c>
      <c r="Z1" s="506"/>
      <c r="AA1" s="506"/>
      <c r="AB1" s="507"/>
      <c r="AC1" s="505" t="s">
        <v>12</v>
      </c>
      <c r="AD1" s="506"/>
      <c r="AE1" s="506"/>
      <c r="AF1" s="507"/>
      <c r="AG1" s="505" t="s">
        <v>13</v>
      </c>
      <c r="AH1" s="506"/>
      <c r="AI1" s="506"/>
      <c r="AJ1" s="507"/>
      <c r="AK1" s="505" t="s">
        <v>14</v>
      </c>
      <c r="AL1" s="506"/>
      <c r="AM1" s="506"/>
      <c r="AN1" s="507"/>
      <c r="AP1" s="495" t="s">
        <v>195</v>
      </c>
      <c r="AQ1" s="495"/>
    </row>
    <row r="2" spans="1:43" ht="17" thickBot="1" x14ac:dyDescent="0.25">
      <c r="A2" s="89" t="s">
        <v>15</v>
      </c>
      <c r="B2" s="90" t="s">
        <v>16</v>
      </c>
      <c r="C2" s="91" t="s">
        <v>17</v>
      </c>
      <c r="D2" s="91" t="s">
        <v>18</v>
      </c>
      <c r="E2" s="92" t="s">
        <v>19</v>
      </c>
      <c r="F2" s="92" t="s">
        <v>20</v>
      </c>
      <c r="G2" s="92" t="s">
        <v>21</v>
      </c>
      <c r="H2" s="93" t="s">
        <v>22</v>
      </c>
      <c r="I2" s="93" t="s">
        <v>23</v>
      </c>
      <c r="J2" s="93" t="s">
        <v>24</v>
      </c>
      <c r="K2" s="93" t="s">
        <v>25</v>
      </c>
      <c r="L2" s="93" t="s">
        <v>26</v>
      </c>
      <c r="M2" s="93" t="s">
        <v>27</v>
      </c>
      <c r="N2" s="93" t="s">
        <v>28</v>
      </c>
      <c r="O2" s="93" t="s">
        <v>19</v>
      </c>
      <c r="P2" s="93" t="s">
        <v>22</v>
      </c>
      <c r="Q2" s="93" t="s">
        <v>23</v>
      </c>
      <c r="R2" s="93" t="s">
        <v>24</v>
      </c>
      <c r="S2" s="94"/>
      <c r="T2" s="95"/>
      <c r="U2" s="96"/>
      <c r="V2" s="94"/>
      <c r="W2" s="97"/>
      <c r="X2" s="98"/>
      <c r="Y2" s="99" t="s">
        <v>29</v>
      </c>
      <c r="Z2" s="99" t="s">
        <v>30</v>
      </c>
      <c r="AA2" s="99" t="s">
        <v>26</v>
      </c>
      <c r="AB2" s="99" t="s">
        <v>31</v>
      </c>
      <c r="AC2" s="99" t="s">
        <v>29</v>
      </c>
      <c r="AD2" s="99" t="s">
        <v>30</v>
      </c>
      <c r="AE2" s="99" t="s">
        <v>26</v>
      </c>
      <c r="AF2" s="99" t="s">
        <v>31</v>
      </c>
      <c r="AG2" s="99" t="s">
        <v>29</v>
      </c>
      <c r="AH2" s="99" t="s">
        <v>30</v>
      </c>
      <c r="AI2" s="99" t="s">
        <v>26</v>
      </c>
      <c r="AJ2" s="99" t="s">
        <v>31</v>
      </c>
      <c r="AK2" s="99" t="s">
        <v>29</v>
      </c>
      <c r="AL2" s="99" t="s">
        <v>30</v>
      </c>
      <c r="AM2" s="99" t="s">
        <v>26</v>
      </c>
      <c r="AN2" s="100" t="s">
        <v>31</v>
      </c>
      <c r="AP2" s="333" t="s">
        <v>187</v>
      </c>
      <c r="AQ2" s="329">
        <f>Y24+56</f>
        <v>75</v>
      </c>
    </row>
    <row r="3" spans="1:43" ht="17" thickBot="1" x14ac:dyDescent="0.25">
      <c r="A3" s="1" t="s">
        <v>45</v>
      </c>
      <c r="B3" s="2" t="s">
        <v>44</v>
      </c>
      <c r="C3" s="3" t="s">
        <v>83</v>
      </c>
      <c r="D3" s="4" t="s">
        <v>21</v>
      </c>
      <c r="E3" s="4" t="s">
        <v>30</v>
      </c>
      <c r="F3" s="4">
        <v>46</v>
      </c>
      <c r="G3" s="5">
        <v>13</v>
      </c>
      <c r="H3" s="6">
        <v>1</v>
      </c>
      <c r="I3" s="7">
        <v>0</v>
      </c>
      <c r="J3" s="7">
        <v>8</v>
      </c>
      <c r="K3" s="7">
        <v>3</v>
      </c>
      <c r="L3" s="7">
        <v>0</v>
      </c>
      <c r="M3" s="7">
        <v>0</v>
      </c>
      <c r="N3" s="7">
        <v>1</v>
      </c>
      <c r="O3" s="7">
        <v>0</v>
      </c>
      <c r="P3" s="7">
        <v>0</v>
      </c>
      <c r="Q3" s="7">
        <v>0</v>
      </c>
      <c r="R3" s="7">
        <v>2</v>
      </c>
      <c r="S3" s="8"/>
      <c r="T3" s="15" t="s">
        <v>218</v>
      </c>
      <c r="U3" s="10" t="s">
        <v>212</v>
      </c>
      <c r="V3" s="11" t="s">
        <v>207</v>
      </c>
      <c r="W3" s="12" t="s">
        <v>197</v>
      </c>
      <c r="X3" s="11" t="s">
        <v>213</v>
      </c>
      <c r="Y3" s="11">
        <v>1</v>
      </c>
      <c r="Z3" s="11">
        <v>1</v>
      </c>
      <c r="AA3" s="11">
        <v>0</v>
      </c>
      <c r="AB3" s="13">
        <v>0</v>
      </c>
      <c r="AC3" s="11"/>
      <c r="AD3" s="11"/>
      <c r="AE3" s="11"/>
      <c r="AF3" s="13"/>
      <c r="AG3" s="11">
        <v>1</v>
      </c>
      <c r="AH3" s="11">
        <v>1</v>
      </c>
      <c r="AI3" s="11">
        <v>0</v>
      </c>
      <c r="AJ3" s="13">
        <v>0</v>
      </c>
      <c r="AK3" s="11"/>
      <c r="AL3" s="11"/>
      <c r="AM3" s="11"/>
      <c r="AN3" s="13"/>
      <c r="AP3" s="333" t="s">
        <v>188</v>
      </c>
      <c r="AQ3" s="329">
        <f>Z24+40</f>
        <v>54</v>
      </c>
    </row>
    <row r="4" spans="1:43" ht="17" thickBot="1" x14ac:dyDescent="0.25">
      <c r="A4" s="66" t="s">
        <v>48</v>
      </c>
      <c r="B4" s="67" t="s">
        <v>44</v>
      </c>
      <c r="C4" s="68" t="s">
        <v>53</v>
      </c>
      <c r="D4" s="69" t="s">
        <v>47</v>
      </c>
      <c r="E4" s="69" t="s">
        <v>31</v>
      </c>
      <c r="F4" s="69">
        <v>34</v>
      </c>
      <c r="G4" s="70">
        <v>35</v>
      </c>
      <c r="H4" s="71">
        <v>1</v>
      </c>
      <c r="I4" s="72">
        <v>1</v>
      </c>
      <c r="J4" s="72">
        <v>5</v>
      </c>
      <c r="K4" s="69">
        <v>3</v>
      </c>
      <c r="L4" s="72">
        <v>0</v>
      </c>
      <c r="M4" s="69">
        <v>1</v>
      </c>
      <c r="N4" s="72">
        <v>2</v>
      </c>
      <c r="O4" s="72">
        <v>0</v>
      </c>
      <c r="P4" s="72">
        <v>1</v>
      </c>
      <c r="Q4" s="69">
        <v>0</v>
      </c>
      <c r="R4" s="72">
        <v>5</v>
      </c>
      <c r="S4" s="73"/>
      <c r="T4" s="84" t="s">
        <v>240</v>
      </c>
      <c r="U4" s="75" t="s">
        <v>214</v>
      </c>
      <c r="V4" s="76" t="s">
        <v>242</v>
      </c>
      <c r="W4" s="76" t="s">
        <v>197</v>
      </c>
      <c r="X4" s="77" t="s">
        <v>241</v>
      </c>
      <c r="Y4" s="76">
        <v>1</v>
      </c>
      <c r="Z4" s="76">
        <v>0</v>
      </c>
      <c r="AA4" s="76">
        <v>0</v>
      </c>
      <c r="AB4" s="78">
        <v>1</v>
      </c>
      <c r="AC4" s="76">
        <v>1</v>
      </c>
      <c r="AD4" s="76">
        <v>0</v>
      </c>
      <c r="AE4" s="76">
        <v>0</v>
      </c>
      <c r="AF4" s="78">
        <v>1</v>
      </c>
      <c r="AG4" s="76"/>
      <c r="AH4" s="76"/>
      <c r="AI4" s="76"/>
      <c r="AJ4" s="78"/>
      <c r="AK4" s="76"/>
      <c r="AL4" s="76"/>
      <c r="AM4" s="76"/>
      <c r="AN4" s="78"/>
      <c r="AP4" s="333" t="s">
        <v>189</v>
      </c>
      <c r="AQ4" s="329">
        <f>AA24</f>
        <v>0</v>
      </c>
    </row>
    <row r="5" spans="1:43" ht="17" thickBot="1" x14ac:dyDescent="0.25">
      <c r="A5" s="66" t="s">
        <v>81</v>
      </c>
      <c r="B5" s="67" t="s">
        <v>44</v>
      </c>
      <c r="C5" s="68" t="s">
        <v>49</v>
      </c>
      <c r="D5" s="69" t="s">
        <v>47</v>
      </c>
      <c r="E5" s="69" t="s">
        <v>30</v>
      </c>
      <c r="F5" s="69">
        <v>27</v>
      </c>
      <c r="G5" s="70">
        <v>21</v>
      </c>
      <c r="H5" s="79">
        <v>0</v>
      </c>
      <c r="I5" s="70">
        <v>0</v>
      </c>
      <c r="J5" s="72">
        <v>3</v>
      </c>
      <c r="K5" s="72">
        <v>3</v>
      </c>
      <c r="L5" s="72">
        <v>0</v>
      </c>
      <c r="M5" s="72">
        <v>2</v>
      </c>
      <c r="N5" s="72">
        <v>0</v>
      </c>
      <c r="O5" s="72">
        <v>0</v>
      </c>
      <c r="P5" s="69">
        <v>0</v>
      </c>
      <c r="Q5" s="72">
        <v>1</v>
      </c>
      <c r="R5" s="69">
        <v>3</v>
      </c>
      <c r="S5" s="73"/>
      <c r="T5" s="172" t="s">
        <v>271</v>
      </c>
      <c r="U5" s="75" t="s">
        <v>254</v>
      </c>
      <c r="V5" s="76" t="s">
        <v>206</v>
      </c>
      <c r="W5" s="76" t="s">
        <v>209</v>
      </c>
      <c r="X5" s="77" t="s">
        <v>241</v>
      </c>
      <c r="Y5" s="76">
        <v>1</v>
      </c>
      <c r="Z5" s="76">
        <v>1</v>
      </c>
      <c r="AA5" s="76">
        <v>0</v>
      </c>
      <c r="AB5" s="78">
        <v>0</v>
      </c>
      <c r="AC5" s="76">
        <v>1</v>
      </c>
      <c r="AD5" s="76">
        <v>1</v>
      </c>
      <c r="AE5" s="76">
        <v>0</v>
      </c>
      <c r="AF5" s="78">
        <v>0</v>
      </c>
      <c r="AG5" s="76"/>
      <c r="AH5" s="76"/>
      <c r="AI5" s="76"/>
      <c r="AJ5" s="78"/>
      <c r="AK5" s="76"/>
      <c r="AL5" s="76"/>
      <c r="AM5" s="76"/>
      <c r="AN5" s="78"/>
      <c r="AP5" s="333" t="s">
        <v>190</v>
      </c>
      <c r="AQ5" s="329">
        <f>AB24+16</f>
        <v>21</v>
      </c>
    </row>
    <row r="6" spans="1:43" ht="17" thickBot="1" x14ac:dyDescent="0.25">
      <c r="A6" s="1" t="s">
        <v>82</v>
      </c>
      <c r="B6" s="2" t="s">
        <v>44</v>
      </c>
      <c r="C6" s="3" t="s">
        <v>57</v>
      </c>
      <c r="D6" s="4" t="s">
        <v>21</v>
      </c>
      <c r="E6" s="4" t="s">
        <v>30</v>
      </c>
      <c r="F6" s="4">
        <v>22</v>
      </c>
      <c r="G6" s="5">
        <v>17</v>
      </c>
      <c r="H6" s="5">
        <v>0</v>
      </c>
      <c r="I6" s="7">
        <v>0</v>
      </c>
      <c r="J6" s="4">
        <v>3</v>
      </c>
      <c r="K6" s="4">
        <v>1</v>
      </c>
      <c r="L6" s="7">
        <v>0</v>
      </c>
      <c r="M6" s="7">
        <v>1</v>
      </c>
      <c r="N6" s="7">
        <v>1</v>
      </c>
      <c r="O6" s="7">
        <v>0</v>
      </c>
      <c r="P6" s="7">
        <v>0</v>
      </c>
      <c r="Q6" s="4">
        <v>1</v>
      </c>
      <c r="R6" s="7">
        <v>2</v>
      </c>
      <c r="S6" s="8"/>
      <c r="T6" s="15" t="s">
        <v>307</v>
      </c>
      <c r="U6" s="11" t="s">
        <v>197</v>
      </c>
      <c r="V6" s="11" t="s">
        <v>211</v>
      </c>
      <c r="W6" s="11" t="s">
        <v>249</v>
      </c>
      <c r="X6" s="10" t="s">
        <v>296</v>
      </c>
      <c r="Y6" s="11">
        <v>1</v>
      </c>
      <c r="Z6" s="11">
        <v>1</v>
      </c>
      <c r="AA6" s="11">
        <v>0</v>
      </c>
      <c r="AB6" s="13">
        <v>0</v>
      </c>
      <c r="AC6" s="11"/>
      <c r="AD6" s="11"/>
      <c r="AE6" s="11"/>
      <c r="AF6" s="13"/>
      <c r="AG6" s="11">
        <v>1</v>
      </c>
      <c r="AH6" s="11">
        <v>1</v>
      </c>
      <c r="AI6" s="11">
        <v>0</v>
      </c>
      <c r="AJ6" s="13">
        <v>0</v>
      </c>
      <c r="AK6" s="11"/>
      <c r="AL6" s="11"/>
      <c r="AM6" s="11"/>
      <c r="AN6" s="13"/>
      <c r="AP6" s="333" t="s">
        <v>191</v>
      </c>
      <c r="AQ6" s="329">
        <f>F24+1597</f>
        <v>2136</v>
      </c>
    </row>
    <row r="7" spans="1:43" ht="17" thickBot="1" x14ac:dyDescent="0.25">
      <c r="A7" s="66" t="s">
        <v>54</v>
      </c>
      <c r="B7" s="67" t="s">
        <v>44</v>
      </c>
      <c r="C7" s="68" t="s">
        <v>52</v>
      </c>
      <c r="D7" s="69" t="s">
        <v>47</v>
      </c>
      <c r="E7" s="72" t="s">
        <v>30</v>
      </c>
      <c r="F7" s="69">
        <v>25</v>
      </c>
      <c r="G7" s="70">
        <v>3</v>
      </c>
      <c r="H7" s="71">
        <v>0</v>
      </c>
      <c r="I7" s="69">
        <v>0</v>
      </c>
      <c r="J7" s="72">
        <v>3</v>
      </c>
      <c r="K7" s="72">
        <v>2</v>
      </c>
      <c r="L7" s="72">
        <v>0</v>
      </c>
      <c r="M7" s="72">
        <v>2</v>
      </c>
      <c r="N7" s="72">
        <v>0</v>
      </c>
      <c r="O7" s="72">
        <v>0</v>
      </c>
      <c r="P7" s="72">
        <v>0</v>
      </c>
      <c r="Q7" s="72">
        <v>0</v>
      </c>
      <c r="R7" s="72">
        <v>0</v>
      </c>
      <c r="S7" s="73"/>
      <c r="T7" s="80" t="s">
        <v>334</v>
      </c>
      <c r="U7" s="75" t="s">
        <v>199</v>
      </c>
      <c r="V7" s="76" t="s">
        <v>211</v>
      </c>
      <c r="W7" s="76" t="s">
        <v>241</v>
      </c>
      <c r="X7" s="77" t="s">
        <v>202</v>
      </c>
      <c r="Y7" s="76">
        <v>1</v>
      </c>
      <c r="Z7" s="76">
        <v>1</v>
      </c>
      <c r="AA7" s="76">
        <v>0</v>
      </c>
      <c r="AB7" s="78">
        <v>0</v>
      </c>
      <c r="AC7" s="76">
        <v>1</v>
      </c>
      <c r="AD7" s="76">
        <v>1</v>
      </c>
      <c r="AE7" s="76">
        <v>0</v>
      </c>
      <c r="AF7" s="78">
        <v>0</v>
      </c>
      <c r="AG7" s="76"/>
      <c r="AH7" s="76"/>
      <c r="AI7" s="76"/>
      <c r="AJ7" s="78"/>
      <c r="AK7" s="76"/>
      <c r="AL7" s="76"/>
      <c r="AM7" s="76"/>
      <c r="AN7" s="78"/>
      <c r="AP7" s="333" t="s">
        <v>192</v>
      </c>
      <c r="AQ7" s="329">
        <f>G24+1165</f>
        <v>1566</v>
      </c>
    </row>
    <row r="8" spans="1:43" ht="17" thickBot="1" x14ac:dyDescent="0.25">
      <c r="A8" s="1" t="s">
        <v>56</v>
      </c>
      <c r="B8" s="2" t="s">
        <v>44</v>
      </c>
      <c r="C8" s="3" t="s">
        <v>61</v>
      </c>
      <c r="D8" s="4" t="s">
        <v>21</v>
      </c>
      <c r="E8" s="7" t="s">
        <v>30</v>
      </c>
      <c r="F8" s="4">
        <v>47</v>
      </c>
      <c r="G8" s="5">
        <v>35</v>
      </c>
      <c r="H8" s="6">
        <v>1</v>
      </c>
      <c r="I8" s="4">
        <v>0</v>
      </c>
      <c r="J8" s="7">
        <v>7</v>
      </c>
      <c r="K8" s="7">
        <v>5</v>
      </c>
      <c r="L8" s="7">
        <v>0</v>
      </c>
      <c r="M8" s="7">
        <v>0</v>
      </c>
      <c r="N8" s="7">
        <v>1</v>
      </c>
      <c r="O8" s="7">
        <v>0</v>
      </c>
      <c r="P8" s="4">
        <v>1</v>
      </c>
      <c r="Q8" s="7">
        <v>0</v>
      </c>
      <c r="R8" s="7">
        <v>6</v>
      </c>
      <c r="S8" s="8"/>
      <c r="T8" s="15" t="s">
        <v>339</v>
      </c>
      <c r="U8" s="10" t="s">
        <v>205</v>
      </c>
      <c r="V8" s="11" t="s">
        <v>207</v>
      </c>
      <c r="W8" s="11" t="s">
        <v>214</v>
      </c>
      <c r="X8" s="12" t="s">
        <v>275</v>
      </c>
      <c r="Y8" s="11">
        <v>1</v>
      </c>
      <c r="Z8" s="11">
        <v>1</v>
      </c>
      <c r="AA8" s="11">
        <v>0</v>
      </c>
      <c r="AB8" s="13">
        <v>0</v>
      </c>
      <c r="AC8" s="11"/>
      <c r="AD8" s="11"/>
      <c r="AE8" s="11"/>
      <c r="AF8" s="13"/>
      <c r="AG8" s="11">
        <v>1</v>
      </c>
      <c r="AH8" s="11">
        <v>1</v>
      </c>
      <c r="AI8" s="11">
        <v>0</v>
      </c>
      <c r="AJ8" s="13">
        <v>0</v>
      </c>
      <c r="AK8" s="11"/>
      <c r="AL8" s="11"/>
      <c r="AM8" s="11"/>
      <c r="AN8" s="13"/>
      <c r="AP8" s="333" t="s">
        <v>193</v>
      </c>
      <c r="AQ8" s="329">
        <f>J24+224</f>
        <v>296</v>
      </c>
    </row>
    <row r="9" spans="1:43" ht="17" thickBot="1" x14ac:dyDescent="0.25">
      <c r="A9" s="66" t="s">
        <v>35</v>
      </c>
      <c r="B9" s="67" t="s">
        <v>44</v>
      </c>
      <c r="C9" s="68" t="s">
        <v>60</v>
      </c>
      <c r="D9" s="69" t="s">
        <v>47</v>
      </c>
      <c r="E9" s="72" t="s">
        <v>31</v>
      </c>
      <c r="F9" s="69">
        <v>21</v>
      </c>
      <c r="G9" s="70">
        <v>29</v>
      </c>
      <c r="H9" s="71">
        <v>0</v>
      </c>
      <c r="I9" s="72">
        <v>0</v>
      </c>
      <c r="J9" s="72">
        <v>3</v>
      </c>
      <c r="K9" s="72">
        <v>2</v>
      </c>
      <c r="L9" s="72">
        <v>0</v>
      </c>
      <c r="M9" s="72">
        <v>0</v>
      </c>
      <c r="N9" s="72">
        <v>0</v>
      </c>
      <c r="O9" s="72">
        <v>0</v>
      </c>
      <c r="P9" s="72">
        <v>0</v>
      </c>
      <c r="Q9" s="72">
        <v>0</v>
      </c>
      <c r="R9" s="72">
        <v>3</v>
      </c>
      <c r="S9" s="73"/>
      <c r="T9" s="74" t="s">
        <v>271</v>
      </c>
      <c r="U9" s="75" t="s">
        <v>197</v>
      </c>
      <c r="V9" s="76" t="s">
        <v>297</v>
      </c>
      <c r="W9" s="76" t="s">
        <v>245</v>
      </c>
      <c r="X9" s="77" t="s">
        <v>273</v>
      </c>
      <c r="Y9" s="76">
        <v>1</v>
      </c>
      <c r="Z9" s="76">
        <v>0</v>
      </c>
      <c r="AA9" s="76">
        <v>0</v>
      </c>
      <c r="AB9" s="78">
        <v>1</v>
      </c>
      <c r="AC9" s="76">
        <v>1</v>
      </c>
      <c r="AD9" s="76">
        <v>0</v>
      </c>
      <c r="AE9" s="76">
        <v>0</v>
      </c>
      <c r="AF9" s="78">
        <v>1</v>
      </c>
      <c r="AG9" s="76"/>
      <c r="AH9" s="76"/>
      <c r="AI9" s="76"/>
      <c r="AJ9" s="78"/>
      <c r="AK9" s="76"/>
      <c r="AL9" s="76"/>
      <c r="AM9" s="76"/>
      <c r="AN9" s="78"/>
      <c r="AP9" s="333" t="s">
        <v>194</v>
      </c>
      <c r="AQ9" s="329">
        <f>R24+178</f>
        <v>230</v>
      </c>
    </row>
    <row r="10" spans="1:43" ht="17" thickBot="1" x14ac:dyDescent="0.25">
      <c r="A10" s="1" t="s">
        <v>93</v>
      </c>
      <c r="B10" s="2" t="s">
        <v>44</v>
      </c>
      <c r="C10" s="3" t="s">
        <v>63</v>
      </c>
      <c r="D10" s="4" t="s">
        <v>21</v>
      </c>
      <c r="E10" s="4" t="s">
        <v>30</v>
      </c>
      <c r="F10" s="4">
        <v>34</v>
      </c>
      <c r="G10" s="5">
        <v>12</v>
      </c>
      <c r="H10" s="6">
        <v>1</v>
      </c>
      <c r="I10" s="7">
        <v>0</v>
      </c>
      <c r="J10" s="7">
        <v>5</v>
      </c>
      <c r="K10" s="7">
        <v>2</v>
      </c>
      <c r="L10" s="7">
        <v>0</v>
      </c>
      <c r="M10" s="7">
        <v>1</v>
      </c>
      <c r="N10" s="4">
        <v>0</v>
      </c>
      <c r="O10" s="7">
        <v>0</v>
      </c>
      <c r="P10" s="7">
        <v>0</v>
      </c>
      <c r="Q10" s="4">
        <v>0</v>
      </c>
      <c r="R10" s="7">
        <v>2</v>
      </c>
      <c r="S10" s="8"/>
      <c r="T10" s="15" t="s">
        <v>366</v>
      </c>
      <c r="U10" s="10" t="s">
        <v>201</v>
      </c>
      <c r="V10" s="11" t="s">
        <v>206</v>
      </c>
      <c r="W10" s="11" t="s">
        <v>202</v>
      </c>
      <c r="X10" s="12" t="s">
        <v>262</v>
      </c>
      <c r="Y10" s="11">
        <v>1</v>
      </c>
      <c r="Z10" s="11">
        <v>1</v>
      </c>
      <c r="AA10" s="11">
        <v>0</v>
      </c>
      <c r="AB10" s="13">
        <v>0</v>
      </c>
      <c r="AC10" s="11"/>
      <c r="AD10" s="11"/>
      <c r="AE10" s="11"/>
      <c r="AF10" s="13"/>
      <c r="AG10" s="11">
        <v>1</v>
      </c>
      <c r="AH10" s="11">
        <v>1</v>
      </c>
      <c r="AI10" s="11">
        <v>0</v>
      </c>
      <c r="AJ10" s="13">
        <v>0</v>
      </c>
      <c r="AK10" s="11"/>
      <c r="AL10" s="11"/>
      <c r="AM10" s="11"/>
      <c r="AN10" s="13"/>
    </row>
    <row r="11" spans="1:43" ht="17" thickBot="1" x14ac:dyDescent="0.25">
      <c r="A11" s="66" t="s">
        <v>85</v>
      </c>
      <c r="B11" s="67" t="s">
        <v>44</v>
      </c>
      <c r="C11" s="68" t="s">
        <v>57</v>
      </c>
      <c r="D11" s="69" t="s">
        <v>47</v>
      </c>
      <c r="E11" s="69" t="s">
        <v>31</v>
      </c>
      <c r="F11" s="69">
        <v>20</v>
      </c>
      <c r="G11" s="70">
        <v>26</v>
      </c>
      <c r="H11" s="71">
        <v>0</v>
      </c>
      <c r="I11" s="72">
        <v>1</v>
      </c>
      <c r="J11" s="72">
        <v>3</v>
      </c>
      <c r="K11" s="72">
        <v>1</v>
      </c>
      <c r="L11" s="72">
        <v>0</v>
      </c>
      <c r="M11" s="72">
        <v>1</v>
      </c>
      <c r="N11" s="72">
        <v>1</v>
      </c>
      <c r="O11" s="72">
        <v>0</v>
      </c>
      <c r="P11" s="72">
        <v>0</v>
      </c>
      <c r="Q11" s="69">
        <v>0</v>
      </c>
      <c r="R11" s="72">
        <v>3</v>
      </c>
      <c r="S11" s="73"/>
      <c r="T11" s="74" t="s">
        <v>380</v>
      </c>
      <c r="U11" s="75" t="s">
        <v>205</v>
      </c>
      <c r="V11" s="76" t="s">
        <v>207</v>
      </c>
      <c r="W11" s="76" t="s">
        <v>254</v>
      </c>
      <c r="X11" s="77" t="s">
        <v>276</v>
      </c>
      <c r="Y11" s="76">
        <v>1</v>
      </c>
      <c r="Z11" s="76">
        <v>0</v>
      </c>
      <c r="AA11" s="76">
        <v>0</v>
      </c>
      <c r="AB11" s="78">
        <v>1</v>
      </c>
      <c r="AC11" s="76">
        <v>1</v>
      </c>
      <c r="AD11" s="76">
        <v>0</v>
      </c>
      <c r="AE11" s="76">
        <v>0</v>
      </c>
      <c r="AF11" s="78">
        <v>1</v>
      </c>
      <c r="AG11" s="76"/>
      <c r="AH11" s="76"/>
      <c r="AI11" s="76"/>
      <c r="AJ11" s="78"/>
      <c r="AK11" s="76"/>
      <c r="AL11" s="76"/>
      <c r="AM11" s="76"/>
      <c r="AN11" s="78"/>
    </row>
    <row r="12" spans="1:43" ht="17" thickBot="1" x14ac:dyDescent="0.25">
      <c r="A12" s="16" t="s">
        <v>62</v>
      </c>
      <c r="B12" s="2" t="s">
        <v>44</v>
      </c>
      <c r="C12" s="3" t="s">
        <v>66</v>
      </c>
      <c r="D12" s="4" t="s">
        <v>21</v>
      </c>
      <c r="E12" s="4" t="s">
        <v>30</v>
      </c>
      <c r="F12" s="4">
        <v>24</v>
      </c>
      <c r="G12" s="5">
        <v>23</v>
      </c>
      <c r="H12" s="6">
        <v>0</v>
      </c>
      <c r="I12" s="7">
        <v>0</v>
      </c>
      <c r="J12" s="7">
        <v>3</v>
      </c>
      <c r="K12" s="7">
        <v>3</v>
      </c>
      <c r="L12" s="7">
        <v>0</v>
      </c>
      <c r="M12" s="7">
        <v>1</v>
      </c>
      <c r="N12" s="4">
        <v>2</v>
      </c>
      <c r="O12" s="7">
        <v>0</v>
      </c>
      <c r="P12" s="7">
        <v>0</v>
      </c>
      <c r="Q12" s="7">
        <v>1</v>
      </c>
      <c r="R12" s="7">
        <v>3</v>
      </c>
      <c r="S12" s="17"/>
      <c r="T12" s="14" t="s">
        <v>335</v>
      </c>
      <c r="U12" s="10" t="s">
        <v>197</v>
      </c>
      <c r="V12" s="11" t="s">
        <v>276</v>
      </c>
      <c r="W12" s="11" t="s">
        <v>206</v>
      </c>
      <c r="X12" s="12" t="s">
        <v>281</v>
      </c>
      <c r="Y12" s="11">
        <v>1</v>
      </c>
      <c r="Z12" s="11">
        <v>1</v>
      </c>
      <c r="AA12" s="11">
        <v>0</v>
      </c>
      <c r="AB12" s="13">
        <v>0</v>
      </c>
      <c r="AC12" s="11"/>
      <c r="AD12" s="11"/>
      <c r="AE12" s="11"/>
      <c r="AF12" s="13"/>
      <c r="AG12" s="11">
        <v>1</v>
      </c>
      <c r="AH12" s="11">
        <v>1</v>
      </c>
      <c r="AI12" s="11">
        <v>0</v>
      </c>
      <c r="AJ12" s="13">
        <v>0</v>
      </c>
      <c r="AK12" s="11"/>
      <c r="AL12" s="11"/>
      <c r="AM12" s="11"/>
      <c r="AN12" s="13"/>
    </row>
    <row r="13" spans="1:43" ht="17" thickBot="1" x14ac:dyDescent="0.25">
      <c r="A13" s="16" t="s">
        <v>86</v>
      </c>
      <c r="B13" s="2" t="s">
        <v>44</v>
      </c>
      <c r="C13" s="3" t="s">
        <v>52</v>
      </c>
      <c r="D13" s="4" t="s">
        <v>21</v>
      </c>
      <c r="E13" s="4" t="s">
        <v>31</v>
      </c>
      <c r="F13" s="4">
        <v>13</v>
      </c>
      <c r="G13" s="5">
        <v>15</v>
      </c>
      <c r="H13" s="6">
        <v>0</v>
      </c>
      <c r="I13" s="7">
        <v>1</v>
      </c>
      <c r="J13" s="7">
        <v>1</v>
      </c>
      <c r="K13" s="7">
        <v>1</v>
      </c>
      <c r="L13" s="7">
        <v>0</v>
      </c>
      <c r="M13" s="7">
        <v>2</v>
      </c>
      <c r="N13" s="7">
        <v>1</v>
      </c>
      <c r="O13" s="7">
        <v>0</v>
      </c>
      <c r="P13" s="7">
        <v>0</v>
      </c>
      <c r="Q13" s="7">
        <v>0</v>
      </c>
      <c r="R13" s="7">
        <v>2</v>
      </c>
      <c r="S13" s="17"/>
      <c r="T13" s="9" t="s">
        <v>280</v>
      </c>
      <c r="U13" s="10" t="s">
        <v>389</v>
      </c>
      <c r="V13" s="11" t="s">
        <v>199</v>
      </c>
      <c r="W13" s="11" t="s">
        <v>209</v>
      </c>
      <c r="X13" s="12" t="s">
        <v>210</v>
      </c>
      <c r="Y13" s="11">
        <v>1</v>
      </c>
      <c r="Z13" s="11">
        <v>0</v>
      </c>
      <c r="AA13" s="11">
        <v>0</v>
      </c>
      <c r="AB13" s="13">
        <v>1</v>
      </c>
      <c r="AC13" s="11"/>
      <c r="AD13" s="11"/>
      <c r="AE13" s="11"/>
      <c r="AF13" s="13"/>
      <c r="AG13" s="11">
        <v>1</v>
      </c>
      <c r="AH13" s="11">
        <v>0</v>
      </c>
      <c r="AI13" s="11">
        <v>0</v>
      </c>
      <c r="AJ13" s="13">
        <v>1</v>
      </c>
      <c r="AK13" s="11"/>
      <c r="AL13" s="11"/>
      <c r="AM13" s="11"/>
      <c r="AN13" s="13"/>
    </row>
    <row r="14" spans="1:43" ht="17" thickBot="1" x14ac:dyDescent="0.25">
      <c r="A14" s="81" t="s">
        <v>64</v>
      </c>
      <c r="B14" s="67" t="s">
        <v>44</v>
      </c>
      <c r="C14" s="68" t="s">
        <v>51</v>
      </c>
      <c r="D14" s="69" t="s">
        <v>47</v>
      </c>
      <c r="E14" s="69" t="s">
        <v>30</v>
      </c>
      <c r="F14" s="69">
        <v>26</v>
      </c>
      <c r="G14" s="70">
        <v>24</v>
      </c>
      <c r="H14" s="71">
        <v>1</v>
      </c>
      <c r="I14" s="72">
        <v>0</v>
      </c>
      <c r="J14" s="72">
        <v>4</v>
      </c>
      <c r="K14" s="72">
        <v>3</v>
      </c>
      <c r="L14" s="72">
        <v>0</v>
      </c>
      <c r="M14" s="72">
        <v>0</v>
      </c>
      <c r="N14" s="72">
        <v>0</v>
      </c>
      <c r="O14" s="72">
        <v>0</v>
      </c>
      <c r="P14" s="72">
        <v>0</v>
      </c>
      <c r="Q14" s="72">
        <v>1</v>
      </c>
      <c r="R14" s="72">
        <v>3</v>
      </c>
      <c r="S14" s="82"/>
      <c r="T14" s="172" t="s">
        <v>427</v>
      </c>
      <c r="U14" s="75" t="s">
        <v>197</v>
      </c>
      <c r="V14" s="76" t="s">
        <v>206</v>
      </c>
      <c r="W14" s="76" t="s">
        <v>245</v>
      </c>
      <c r="X14" s="77" t="s">
        <v>214</v>
      </c>
      <c r="Y14" s="76">
        <v>1</v>
      </c>
      <c r="Z14" s="76">
        <v>1</v>
      </c>
      <c r="AA14" s="76">
        <v>0</v>
      </c>
      <c r="AB14" s="78">
        <v>0</v>
      </c>
      <c r="AC14" s="76">
        <v>1</v>
      </c>
      <c r="AD14" s="76">
        <v>1</v>
      </c>
      <c r="AE14" s="76">
        <v>0</v>
      </c>
      <c r="AF14" s="78">
        <v>0</v>
      </c>
      <c r="AG14" s="76"/>
      <c r="AH14" s="76"/>
      <c r="AI14" s="76"/>
      <c r="AJ14" s="78"/>
      <c r="AK14" s="76"/>
      <c r="AL14" s="76"/>
      <c r="AM14" s="76"/>
      <c r="AN14" s="78"/>
    </row>
    <row r="15" spans="1:43" ht="17" thickBot="1" x14ac:dyDescent="0.25">
      <c r="A15" s="16" t="s">
        <v>65</v>
      </c>
      <c r="B15" s="2" t="s">
        <v>44</v>
      </c>
      <c r="C15" s="3" t="s">
        <v>53</v>
      </c>
      <c r="D15" s="4" t="s">
        <v>21</v>
      </c>
      <c r="E15" s="4" t="s">
        <v>30</v>
      </c>
      <c r="F15" s="4">
        <v>31</v>
      </c>
      <c r="G15" s="5">
        <v>30</v>
      </c>
      <c r="H15" s="6">
        <v>1</v>
      </c>
      <c r="I15" s="7">
        <v>0</v>
      </c>
      <c r="J15" s="7">
        <v>4</v>
      </c>
      <c r="K15" s="7">
        <v>3</v>
      </c>
      <c r="L15" s="7">
        <v>0</v>
      </c>
      <c r="M15" s="7">
        <v>1</v>
      </c>
      <c r="N15" s="7">
        <v>2</v>
      </c>
      <c r="O15" s="7">
        <v>0</v>
      </c>
      <c r="P15" s="7">
        <v>0</v>
      </c>
      <c r="Q15" s="7">
        <v>1</v>
      </c>
      <c r="R15" s="7">
        <v>3</v>
      </c>
      <c r="S15" s="17"/>
      <c r="T15" s="14" t="s">
        <v>354</v>
      </c>
      <c r="U15" s="10" t="s">
        <v>201</v>
      </c>
      <c r="V15" s="11" t="s">
        <v>199</v>
      </c>
      <c r="W15" s="11" t="s">
        <v>245</v>
      </c>
      <c r="X15" s="12" t="s">
        <v>273</v>
      </c>
      <c r="Y15" s="11">
        <v>1</v>
      </c>
      <c r="Z15" s="11">
        <v>1</v>
      </c>
      <c r="AA15" s="11">
        <v>0</v>
      </c>
      <c r="AB15" s="13">
        <v>0</v>
      </c>
      <c r="AC15" s="11"/>
      <c r="AD15" s="11"/>
      <c r="AE15" s="11"/>
      <c r="AF15" s="13"/>
      <c r="AG15" s="11">
        <v>1</v>
      </c>
      <c r="AH15" s="11">
        <v>1</v>
      </c>
      <c r="AI15" s="11">
        <v>0</v>
      </c>
      <c r="AJ15" s="13">
        <v>0</v>
      </c>
      <c r="AK15" s="11"/>
      <c r="AL15" s="11"/>
      <c r="AM15" s="11"/>
      <c r="AN15" s="13"/>
    </row>
    <row r="16" spans="1:43" ht="17" thickBot="1" x14ac:dyDescent="0.25">
      <c r="A16" s="81" t="s">
        <v>88</v>
      </c>
      <c r="B16" s="67" t="s">
        <v>44</v>
      </c>
      <c r="C16" s="68" t="s">
        <v>55</v>
      </c>
      <c r="D16" s="69" t="s">
        <v>47</v>
      </c>
      <c r="E16" s="69" t="s">
        <v>30</v>
      </c>
      <c r="F16" s="69">
        <v>36</v>
      </c>
      <c r="G16" s="70">
        <v>27</v>
      </c>
      <c r="H16" s="71">
        <v>1</v>
      </c>
      <c r="I16" s="72">
        <v>0</v>
      </c>
      <c r="J16" s="72">
        <v>5</v>
      </c>
      <c r="K16" s="72">
        <v>4</v>
      </c>
      <c r="L16" s="72">
        <v>0</v>
      </c>
      <c r="M16" s="72">
        <v>1</v>
      </c>
      <c r="N16" s="72">
        <v>0</v>
      </c>
      <c r="O16" s="72">
        <v>0</v>
      </c>
      <c r="P16" s="72">
        <v>0</v>
      </c>
      <c r="Q16" s="72">
        <v>0</v>
      </c>
      <c r="R16" s="72">
        <v>3</v>
      </c>
      <c r="S16" s="82"/>
      <c r="T16" s="386" t="s">
        <v>443</v>
      </c>
      <c r="U16" s="75" t="s">
        <v>212</v>
      </c>
      <c r="V16" s="76" t="s">
        <v>207</v>
      </c>
      <c r="W16" s="76" t="s">
        <v>245</v>
      </c>
      <c r="X16" s="76" t="s">
        <v>241</v>
      </c>
      <c r="Y16" s="76">
        <v>1</v>
      </c>
      <c r="Z16" s="76">
        <v>1</v>
      </c>
      <c r="AA16" s="76">
        <v>0</v>
      </c>
      <c r="AB16" s="78">
        <v>0</v>
      </c>
      <c r="AC16" s="76">
        <v>1</v>
      </c>
      <c r="AD16" s="76">
        <v>1</v>
      </c>
      <c r="AE16" s="76">
        <v>0</v>
      </c>
      <c r="AF16" s="78">
        <v>0</v>
      </c>
      <c r="AG16" s="76"/>
      <c r="AH16" s="76"/>
      <c r="AI16" s="76"/>
      <c r="AJ16" s="78"/>
      <c r="AK16" s="76"/>
      <c r="AL16" s="76"/>
      <c r="AM16" s="76"/>
      <c r="AN16" s="78"/>
    </row>
    <row r="17" spans="1:40" ht="17" thickBot="1" x14ac:dyDescent="0.25">
      <c r="A17" s="16" t="s">
        <v>38</v>
      </c>
      <c r="B17" s="2" t="s">
        <v>44</v>
      </c>
      <c r="C17" s="3" t="s">
        <v>49</v>
      </c>
      <c r="D17" s="4" t="s">
        <v>21</v>
      </c>
      <c r="E17" s="4" t="s">
        <v>31</v>
      </c>
      <c r="F17" s="4">
        <v>17</v>
      </c>
      <c r="G17" s="5">
        <v>27</v>
      </c>
      <c r="H17" s="6">
        <v>0</v>
      </c>
      <c r="I17" s="7">
        <v>0</v>
      </c>
      <c r="J17" s="7">
        <v>2</v>
      </c>
      <c r="K17" s="7">
        <v>2</v>
      </c>
      <c r="L17" s="7">
        <v>0</v>
      </c>
      <c r="M17" s="7">
        <v>1</v>
      </c>
      <c r="N17" s="4">
        <v>0</v>
      </c>
      <c r="O17" s="7">
        <v>0</v>
      </c>
      <c r="P17" s="7">
        <v>1</v>
      </c>
      <c r="Q17" s="7">
        <v>0</v>
      </c>
      <c r="R17" s="7">
        <v>4</v>
      </c>
      <c r="S17" s="8"/>
      <c r="T17" s="9" t="s">
        <v>256</v>
      </c>
      <c r="U17" s="11" t="s">
        <v>205</v>
      </c>
      <c r="V17" s="11" t="s">
        <v>337</v>
      </c>
      <c r="W17" s="11" t="s">
        <v>212</v>
      </c>
      <c r="X17" s="11" t="s">
        <v>198</v>
      </c>
      <c r="Y17" s="11">
        <v>1</v>
      </c>
      <c r="Z17" s="11">
        <v>0</v>
      </c>
      <c r="AA17" s="11">
        <v>0</v>
      </c>
      <c r="AB17" s="13">
        <v>1</v>
      </c>
      <c r="AC17" s="11"/>
      <c r="AD17" s="11"/>
      <c r="AE17" s="11"/>
      <c r="AF17" s="13"/>
      <c r="AG17" s="11">
        <v>1</v>
      </c>
      <c r="AH17" s="11">
        <v>0</v>
      </c>
      <c r="AI17" s="11">
        <v>0</v>
      </c>
      <c r="AJ17" s="13">
        <v>1</v>
      </c>
      <c r="AK17" s="11"/>
      <c r="AL17" s="11"/>
      <c r="AM17" s="11"/>
      <c r="AN17" s="13"/>
    </row>
    <row r="18" spans="1:40" ht="17" thickBot="1" x14ac:dyDescent="0.25">
      <c r="A18" s="81" t="s">
        <v>69</v>
      </c>
      <c r="B18" s="67" t="s">
        <v>44</v>
      </c>
      <c r="C18" s="161" t="s">
        <v>83</v>
      </c>
      <c r="D18" s="162" t="s">
        <v>47</v>
      </c>
      <c r="E18" s="162" t="s">
        <v>30</v>
      </c>
      <c r="F18" s="163">
        <v>40</v>
      </c>
      <c r="G18" s="164">
        <v>7</v>
      </c>
      <c r="H18" s="165">
        <v>1</v>
      </c>
      <c r="I18" s="166">
        <v>0</v>
      </c>
      <c r="J18" s="166">
        <v>6</v>
      </c>
      <c r="K18" s="166">
        <v>5</v>
      </c>
      <c r="L18" s="166">
        <v>0</v>
      </c>
      <c r="M18" s="166">
        <v>0</v>
      </c>
      <c r="N18" s="166">
        <v>1</v>
      </c>
      <c r="O18" s="166">
        <v>0</v>
      </c>
      <c r="P18" s="166">
        <v>0</v>
      </c>
      <c r="Q18" s="166">
        <v>0</v>
      </c>
      <c r="R18" s="166">
        <v>1</v>
      </c>
      <c r="S18" s="167"/>
      <c r="T18" s="80" t="s">
        <v>362</v>
      </c>
      <c r="U18" s="169" t="s">
        <v>241</v>
      </c>
      <c r="V18" s="169" t="s">
        <v>207</v>
      </c>
      <c r="W18" s="169" t="s">
        <v>254</v>
      </c>
      <c r="X18" s="170" t="s">
        <v>213</v>
      </c>
      <c r="Y18" s="169">
        <v>1</v>
      </c>
      <c r="Z18" s="169">
        <v>1</v>
      </c>
      <c r="AA18" s="169">
        <v>0</v>
      </c>
      <c r="AB18" s="171">
        <v>0</v>
      </c>
      <c r="AC18" s="169">
        <v>1</v>
      </c>
      <c r="AD18" s="169">
        <v>1</v>
      </c>
      <c r="AE18" s="169">
        <v>0</v>
      </c>
      <c r="AF18" s="171">
        <v>0</v>
      </c>
      <c r="AG18" s="169"/>
      <c r="AH18" s="169"/>
      <c r="AI18" s="169"/>
      <c r="AJ18" s="171"/>
      <c r="AK18" s="169"/>
      <c r="AL18" s="169"/>
      <c r="AM18" s="169"/>
      <c r="AN18" s="171"/>
    </row>
    <row r="19" spans="1:40" ht="17" thickBot="1" x14ac:dyDescent="0.25">
      <c r="A19" s="398" t="s">
        <v>478</v>
      </c>
      <c r="B19" s="398" t="s">
        <v>479</v>
      </c>
      <c r="C19" s="399" t="s">
        <v>53</v>
      </c>
      <c r="D19" s="32" t="s">
        <v>47</v>
      </c>
      <c r="E19" s="69" t="s">
        <v>30</v>
      </c>
      <c r="F19" s="69">
        <v>33</v>
      </c>
      <c r="G19" s="70">
        <v>29</v>
      </c>
      <c r="H19" s="71" t="s">
        <v>483</v>
      </c>
      <c r="I19" s="72" t="s">
        <v>483</v>
      </c>
      <c r="J19" s="72">
        <v>3</v>
      </c>
      <c r="K19" s="72">
        <v>3</v>
      </c>
      <c r="L19" s="72">
        <v>0</v>
      </c>
      <c r="M19" s="72">
        <v>4</v>
      </c>
      <c r="N19" s="72">
        <v>0</v>
      </c>
      <c r="O19" s="72">
        <v>0</v>
      </c>
      <c r="P19" s="72" t="s">
        <v>483</v>
      </c>
      <c r="Q19" s="72" t="s">
        <v>483</v>
      </c>
      <c r="R19" s="72">
        <v>4</v>
      </c>
      <c r="S19" s="82"/>
      <c r="T19" s="406" t="s">
        <v>484</v>
      </c>
      <c r="U19" s="76" t="s">
        <v>258</v>
      </c>
      <c r="V19" s="76" t="s">
        <v>337</v>
      </c>
      <c r="W19" s="76" t="s">
        <v>241</v>
      </c>
      <c r="X19" s="401" t="s">
        <v>209</v>
      </c>
      <c r="Y19" s="76">
        <v>1</v>
      </c>
      <c r="Z19" s="76">
        <v>1</v>
      </c>
      <c r="AA19" s="76">
        <v>0</v>
      </c>
      <c r="AB19" s="78">
        <v>0</v>
      </c>
      <c r="AC19" s="76">
        <v>1</v>
      </c>
      <c r="AD19" s="76">
        <v>1</v>
      </c>
      <c r="AE19" s="76">
        <v>0</v>
      </c>
      <c r="AF19" s="78">
        <v>0</v>
      </c>
      <c r="AG19" s="76"/>
      <c r="AH19" s="76"/>
      <c r="AI19" s="76"/>
      <c r="AJ19" s="78"/>
      <c r="AK19" s="76"/>
      <c r="AL19" s="76"/>
      <c r="AM19" s="76"/>
      <c r="AN19" s="78"/>
    </row>
    <row r="20" spans="1:40" ht="17" thickBot="1" x14ac:dyDescent="0.25">
      <c r="A20" s="398" t="s">
        <v>490</v>
      </c>
      <c r="B20" s="398" t="s">
        <v>480</v>
      </c>
      <c r="C20" s="399" t="s">
        <v>57</v>
      </c>
      <c r="D20" s="32" t="s">
        <v>47</v>
      </c>
      <c r="E20" s="69" t="s">
        <v>30</v>
      </c>
      <c r="F20" s="69">
        <v>23</v>
      </c>
      <c r="G20" s="70">
        <v>17</v>
      </c>
      <c r="H20" s="71" t="s">
        <v>483</v>
      </c>
      <c r="I20" s="72" t="s">
        <v>483</v>
      </c>
      <c r="J20" s="72">
        <v>3</v>
      </c>
      <c r="K20" s="72">
        <v>1</v>
      </c>
      <c r="L20" s="72">
        <v>0</v>
      </c>
      <c r="M20" s="72">
        <v>2</v>
      </c>
      <c r="N20" s="72">
        <v>1</v>
      </c>
      <c r="O20" s="72">
        <v>0</v>
      </c>
      <c r="P20" s="72" t="s">
        <v>483</v>
      </c>
      <c r="Q20" s="72" t="s">
        <v>483</v>
      </c>
      <c r="R20" s="72">
        <v>2</v>
      </c>
      <c r="S20" s="82"/>
      <c r="T20" s="406" t="s">
        <v>428</v>
      </c>
      <c r="U20" s="76" t="s">
        <v>205</v>
      </c>
      <c r="V20" s="76" t="s">
        <v>199</v>
      </c>
      <c r="W20" s="76" t="s">
        <v>197</v>
      </c>
      <c r="X20" s="401" t="s">
        <v>241</v>
      </c>
      <c r="Y20" s="76">
        <v>1</v>
      </c>
      <c r="Z20" s="76">
        <v>1</v>
      </c>
      <c r="AA20" s="76">
        <v>0</v>
      </c>
      <c r="AB20" s="78">
        <v>0</v>
      </c>
      <c r="AC20" s="76">
        <v>1</v>
      </c>
      <c r="AD20" s="76">
        <v>1</v>
      </c>
      <c r="AE20" s="76">
        <v>0</v>
      </c>
      <c r="AF20" s="78">
        <v>0</v>
      </c>
      <c r="AG20" s="76"/>
      <c r="AH20" s="76"/>
      <c r="AI20" s="76"/>
      <c r="AJ20" s="78"/>
      <c r="AK20" s="76"/>
      <c r="AL20" s="76"/>
      <c r="AM20" s="76"/>
      <c r="AN20" s="78"/>
    </row>
    <row r="21" spans="1:40" ht="17" thickBot="1" x14ac:dyDescent="0.25">
      <c r="A21" s="410" t="s">
        <v>506</v>
      </c>
      <c r="B21" s="410" t="s">
        <v>43</v>
      </c>
      <c r="C21" s="411" t="s">
        <v>60</v>
      </c>
      <c r="D21" s="412" t="s">
        <v>505</v>
      </c>
      <c r="E21" s="413" t="s">
        <v>30</v>
      </c>
      <c r="F21" s="413">
        <v>20</v>
      </c>
      <c r="G21" s="414">
        <v>11</v>
      </c>
      <c r="H21" s="415" t="s">
        <v>483</v>
      </c>
      <c r="I21" s="416" t="s">
        <v>483</v>
      </c>
      <c r="J21" s="416">
        <v>1</v>
      </c>
      <c r="K21" s="416">
        <v>0</v>
      </c>
      <c r="L21" s="416">
        <v>0</v>
      </c>
      <c r="M21" s="416">
        <v>5</v>
      </c>
      <c r="N21" s="416">
        <v>0</v>
      </c>
      <c r="O21" s="416">
        <v>0</v>
      </c>
      <c r="P21" s="416" t="s">
        <v>483</v>
      </c>
      <c r="Q21" s="416" t="s">
        <v>483</v>
      </c>
      <c r="R21" s="416">
        <v>1</v>
      </c>
      <c r="S21" s="417"/>
      <c r="T21" s="607" t="s">
        <v>513</v>
      </c>
      <c r="U21" s="419" t="s">
        <v>197</v>
      </c>
      <c r="V21" s="419" t="s">
        <v>337</v>
      </c>
      <c r="W21" s="419" t="s">
        <v>205</v>
      </c>
      <c r="X21" s="420" t="s">
        <v>245</v>
      </c>
      <c r="Y21" s="419">
        <v>1</v>
      </c>
      <c r="Z21" s="419">
        <v>1</v>
      </c>
      <c r="AA21" s="419">
        <v>0</v>
      </c>
      <c r="AB21" s="421">
        <v>0</v>
      </c>
      <c r="AC21" s="419"/>
      <c r="AD21" s="419"/>
      <c r="AE21" s="419"/>
      <c r="AF21" s="421"/>
      <c r="AG21" s="419"/>
      <c r="AH21" s="419"/>
      <c r="AI21" s="419"/>
      <c r="AJ21" s="421"/>
      <c r="AK21" s="419">
        <v>1</v>
      </c>
      <c r="AL21" s="419">
        <v>1</v>
      </c>
      <c r="AM21" s="419">
        <v>0</v>
      </c>
      <c r="AN21" s="421">
        <v>0</v>
      </c>
    </row>
    <row r="22" spans="1:40" ht="17" thickBot="1" x14ac:dyDescent="0.25">
      <c r="A22" s="33"/>
      <c r="B22" s="34"/>
      <c r="C22" s="425" t="s">
        <v>40</v>
      </c>
      <c r="D22" s="426"/>
      <c r="E22" s="427"/>
      <c r="F22" s="38">
        <f>SUM(F3+F4+F5+F6+F7+F8+F9+F10+F11+F12+F13+F14+F15+F16+F17+F18)</f>
        <v>463</v>
      </c>
      <c r="G22" s="38">
        <f t="shared" ref="G22:R22" si="0">SUM(G3+G4+G5+G6+G7+G8+G9+G10+G11+G12+G13+G14+G15+G16+G17+G18)</f>
        <v>344</v>
      </c>
      <c r="H22" s="38">
        <f t="shared" si="0"/>
        <v>8</v>
      </c>
      <c r="I22" s="38">
        <f t="shared" si="0"/>
        <v>3</v>
      </c>
      <c r="J22" s="38">
        <f t="shared" si="0"/>
        <v>65</v>
      </c>
      <c r="K22" s="38">
        <f t="shared" si="0"/>
        <v>43</v>
      </c>
      <c r="L22" s="38">
        <f t="shared" si="0"/>
        <v>0</v>
      </c>
      <c r="M22" s="38">
        <f t="shared" si="0"/>
        <v>14</v>
      </c>
      <c r="N22" s="38">
        <f t="shared" si="0"/>
        <v>12</v>
      </c>
      <c r="O22" s="38">
        <f t="shared" si="0"/>
        <v>0</v>
      </c>
      <c r="P22" s="38">
        <f t="shared" si="0"/>
        <v>3</v>
      </c>
      <c r="Q22" s="38">
        <f t="shared" si="0"/>
        <v>5</v>
      </c>
      <c r="R22" s="38">
        <f t="shared" si="0"/>
        <v>45</v>
      </c>
      <c r="S22" s="39"/>
      <c r="T22" s="39"/>
      <c r="U22" s="39"/>
      <c r="V22" s="39"/>
      <c r="W22" s="40"/>
      <c r="X22" s="41" t="s">
        <v>40</v>
      </c>
      <c r="Y22" s="38">
        <f>Y3+Y4+Y5+Y6+Y7+Y8+Y9+Y10+Y11+Y12+Y13+Y14+Y15+Y16+Y17+Y18</f>
        <v>16</v>
      </c>
      <c r="Z22" s="38">
        <f t="shared" ref="Z22:AN22" si="1">Z3+Z4+Z5+Z6+Z7+Z8+Z9+Z10+Z11+Z12+Z13+Z14+Z15+Z16+Z17+Z18</f>
        <v>11</v>
      </c>
      <c r="AA22" s="38">
        <f t="shared" si="1"/>
        <v>0</v>
      </c>
      <c r="AB22" s="38">
        <f t="shared" si="1"/>
        <v>5</v>
      </c>
      <c r="AC22" s="32">
        <f t="shared" si="1"/>
        <v>8</v>
      </c>
      <c r="AD22" s="32">
        <f t="shared" si="1"/>
        <v>5</v>
      </c>
      <c r="AE22" s="32">
        <f t="shared" si="1"/>
        <v>0</v>
      </c>
      <c r="AF22" s="32">
        <f t="shared" si="1"/>
        <v>3</v>
      </c>
      <c r="AG22" s="31">
        <f t="shared" si="1"/>
        <v>8</v>
      </c>
      <c r="AH22" s="31">
        <f t="shared" si="1"/>
        <v>6</v>
      </c>
      <c r="AI22" s="31">
        <f t="shared" si="1"/>
        <v>0</v>
      </c>
      <c r="AJ22" s="31">
        <f t="shared" si="1"/>
        <v>2</v>
      </c>
      <c r="AK22" s="38">
        <f t="shared" si="1"/>
        <v>0</v>
      </c>
      <c r="AL22" s="38">
        <f t="shared" si="1"/>
        <v>0</v>
      </c>
      <c r="AM22" s="38">
        <f t="shared" si="1"/>
        <v>0</v>
      </c>
      <c r="AN22" s="38">
        <f t="shared" si="1"/>
        <v>0</v>
      </c>
    </row>
    <row r="23" spans="1:40" ht="17" thickBot="1" x14ac:dyDescent="0.25">
      <c r="A23" s="33"/>
      <c r="B23" s="34"/>
      <c r="C23" s="35" t="s">
        <v>41</v>
      </c>
      <c r="D23" s="36"/>
      <c r="E23" s="37"/>
      <c r="F23" s="42">
        <f>F19+F20+F21</f>
        <v>76</v>
      </c>
      <c r="G23" s="42">
        <f>G19+G20+G21</f>
        <v>57</v>
      </c>
      <c r="H23" s="42" t="s">
        <v>483</v>
      </c>
      <c r="I23" s="42" t="s">
        <v>483</v>
      </c>
      <c r="J23" s="42">
        <f t="shared" ref="J23:O23" si="2">J19+J20+J21</f>
        <v>7</v>
      </c>
      <c r="K23" s="42">
        <f t="shared" si="2"/>
        <v>4</v>
      </c>
      <c r="L23" s="42">
        <f t="shared" si="2"/>
        <v>0</v>
      </c>
      <c r="M23" s="42">
        <f t="shared" si="2"/>
        <v>11</v>
      </c>
      <c r="N23" s="42">
        <f t="shared" si="2"/>
        <v>1</v>
      </c>
      <c r="O23" s="42">
        <f t="shared" si="2"/>
        <v>0</v>
      </c>
      <c r="P23" s="42" t="s">
        <v>483</v>
      </c>
      <c r="Q23" s="42" t="s">
        <v>483</v>
      </c>
      <c r="R23" s="42">
        <f>R19+R20+R21</f>
        <v>7</v>
      </c>
      <c r="S23" s="39"/>
      <c r="T23" s="39"/>
      <c r="U23" s="39"/>
      <c r="V23" s="39"/>
      <c r="W23" s="40"/>
      <c r="X23" s="41" t="s">
        <v>41</v>
      </c>
      <c r="Y23" s="38">
        <f t="shared" ref="Y23:AN23" si="3">Y19+Y20+Y21</f>
        <v>3</v>
      </c>
      <c r="Z23" s="42">
        <f t="shared" si="3"/>
        <v>3</v>
      </c>
      <c r="AA23" s="42">
        <f t="shared" si="3"/>
        <v>0</v>
      </c>
      <c r="AB23" s="42">
        <f t="shared" si="3"/>
        <v>0</v>
      </c>
      <c r="AC23" s="43">
        <f t="shared" si="3"/>
        <v>2</v>
      </c>
      <c r="AD23" s="43">
        <f t="shared" si="3"/>
        <v>2</v>
      </c>
      <c r="AE23" s="43">
        <f t="shared" si="3"/>
        <v>0</v>
      </c>
      <c r="AF23" s="43">
        <f t="shared" si="3"/>
        <v>0</v>
      </c>
      <c r="AG23" s="44">
        <f t="shared" si="3"/>
        <v>0</v>
      </c>
      <c r="AH23" s="44">
        <f t="shared" si="3"/>
        <v>0</v>
      </c>
      <c r="AI23" s="44">
        <f t="shared" si="3"/>
        <v>0</v>
      </c>
      <c r="AJ23" s="44">
        <f t="shared" si="3"/>
        <v>0</v>
      </c>
      <c r="AK23" s="42">
        <f t="shared" si="3"/>
        <v>1</v>
      </c>
      <c r="AL23" s="42">
        <f t="shared" si="3"/>
        <v>1</v>
      </c>
      <c r="AM23" s="42">
        <f t="shared" si="3"/>
        <v>0</v>
      </c>
      <c r="AN23" s="42">
        <f t="shared" si="3"/>
        <v>0</v>
      </c>
    </row>
    <row r="24" spans="1:40" ht="17" thickBot="1" x14ac:dyDescent="0.25">
      <c r="A24" s="33"/>
      <c r="B24" s="34"/>
      <c r="C24" s="425" t="s">
        <v>42</v>
      </c>
      <c r="D24" s="431"/>
      <c r="E24" s="432"/>
      <c r="F24" s="42">
        <f>SUM(F22+F23)</f>
        <v>539</v>
      </c>
      <c r="G24" s="42">
        <f t="shared" ref="G24:R24" si="4">SUM(G22+G23)</f>
        <v>401</v>
      </c>
      <c r="H24" s="42">
        <f>H22</f>
        <v>8</v>
      </c>
      <c r="I24" s="42">
        <f>I22</f>
        <v>3</v>
      </c>
      <c r="J24" s="42">
        <f t="shared" si="4"/>
        <v>72</v>
      </c>
      <c r="K24" s="42">
        <f t="shared" si="4"/>
        <v>47</v>
      </c>
      <c r="L24" s="42">
        <f t="shared" si="4"/>
        <v>0</v>
      </c>
      <c r="M24" s="42">
        <f t="shared" si="4"/>
        <v>25</v>
      </c>
      <c r="N24" s="42">
        <f t="shared" si="4"/>
        <v>13</v>
      </c>
      <c r="O24" s="42">
        <f t="shared" si="4"/>
        <v>0</v>
      </c>
      <c r="P24" s="42">
        <f>P22</f>
        <v>3</v>
      </c>
      <c r="Q24" s="42">
        <f>Q22</f>
        <v>5</v>
      </c>
      <c r="R24" s="42">
        <f t="shared" si="4"/>
        <v>52</v>
      </c>
      <c r="S24" s="39"/>
      <c r="T24" s="39"/>
      <c r="U24" s="39"/>
      <c r="V24" s="39"/>
      <c r="W24" s="40"/>
      <c r="X24" s="41" t="s">
        <v>42</v>
      </c>
      <c r="Y24" s="38">
        <f t="shared" ref="Y24:AN24" si="5">SUM(Y22+Y23)</f>
        <v>19</v>
      </c>
      <c r="Z24" s="42">
        <f t="shared" si="5"/>
        <v>14</v>
      </c>
      <c r="AA24" s="42">
        <f t="shared" si="5"/>
        <v>0</v>
      </c>
      <c r="AB24" s="42">
        <f t="shared" si="5"/>
        <v>5</v>
      </c>
      <c r="AC24" s="43">
        <f t="shared" si="5"/>
        <v>10</v>
      </c>
      <c r="AD24" s="43">
        <f t="shared" si="5"/>
        <v>7</v>
      </c>
      <c r="AE24" s="43">
        <f t="shared" si="5"/>
        <v>0</v>
      </c>
      <c r="AF24" s="43">
        <f t="shared" si="5"/>
        <v>3</v>
      </c>
      <c r="AG24" s="44">
        <f t="shared" si="5"/>
        <v>8</v>
      </c>
      <c r="AH24" s="44">
        <f t="shared" si="5"/>
        <v>6</v>
      </c>
      <c r="AI24" s="44">
        <f t="shared" si="5"/>
        <v>0</v>
      </c>
      <c r="AJ24" s="44">
        <f t="shared" si="5"/>
        <v>2</v>
      </c>
      <c r="AK24" s="42">
        <f t="shared" si="5"/>
        <v>1</v>
      </c>
      <c r="AL24" s="42">
        <f t="shared" si="5"/>
        <v>1</v>
      </c>
      <c r="AM24" s="42">
        <f t="shared" si="5"/>
        <v>0</v>
      </c>
      <c r="AN24" s="42">
        <f t="shared" si="5"/>
        <v>0</v>
      </c>
    </row>
    <row r="26" spans="1:40" x14ac:dyDescent="0.2">
      <c r="A26" s="178" t="s">
        <v>429</v>
      </c>
    </row>
  </sheetData>
  <mergeCells count="13">
    <mergeCell ref="AP1:AQ1"/>
    <mergeCell ref="C24:E24"/>
    <mergeCell ref="A1:D1"/>
    <mergeCell ref="E1:G1"/>
    <mergeCell ref="H1:I1"/>
    <mergeCell ref="J1:M1"/>
    <mergeCell ref="Y1:AB1"/>
    <mergeCell ref="AC1:AF1"/>
    <mergeCell ref="AG1:AJ1"/>
    <mergeCell ref="AK1:AN1"/>
    <mergeCell ref="C22:E22"/>
    <mergeCell ref="N1:O1"/>
    <mergeCell ref="P1:R1"/>
  </mergeCells>
  <pageMargins left="0.7" right="0.7" top="0.75" bottom="0.75" header="0.3" footer="0.3"/>
  <ignoredErrors>
    <ignoredError sqref="T5 T9:T11" twoDigitTextYea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83E42-D9BE-8E45-8D03-A948B8AD2D43}">
  <dimension ref="A1:AQ24"/>
  <sheetViews>
    <sheetView zoomScale="80" zoomScaleNormal="80" workbookViewId="0">
      <selection sqref="A1:D1"/>
    </sheetView>
  </sheetViews>
  <sheetFormatPr baseColWidth="10" defaultColWidth="11.5" defaultRowHeight="16" x14ac:dyDescent="0.2"/>
  <cols>
    <col min="1" max="1" width="6.5" bestFit="1" customWidth="1"/>
    <col min="2" max="2" width="6" bestFit="1" customWidth="1"/>
    <col min="3" max="3" width="12" customWidth="1"/>
    <col min="4" max="4" width="4.83203125" customWidth="1"/>
    <col min="5" max="7" width="4.6640625" customWidth="1"/>
    <col min="8" max="18" width="4.83203125" customWidth="1"/>
    <col min="19" max="19" width="7" customWidth="1"/>
    <col min="20" max="20" width="6.83203125" customWidth="1"/>
    <col min="21" max="21" width="24" bestFit="1" customWidth="1"/>
    <col min="22" max="23" width="29" bestFit="1" customWidth="1"/>
    <col min="24" max="24" width="24" bestFit="1" customWidth="1"/>
    <col min="25" max="40" width="4.83203125" customWidth="1"/>
    <col min="42" max="42" width="14.5" bestFit="1" customWidth="1"/>
  </cols>
  <sheetData>
    <row r="1" spans="1:43" ht="17" thickBot="1" x14ac:dyDescent="0.25">
      <c r="A1" s="509" t="s">
        <v>75</v>
      </c>
      <c r="B1" s="510"/>
      <c r="C1" s="510"/>
      <c r="D1" s="511"/>
      <c r="E1" s="512" t="s">
        <v>0</v>
      </c>
      <c r="F1" s="513"/>
      <c r="G1" s="514"/>
      <c r="H1" s="512" t="s">
        <v>1</v>
      </c>
      <c r="I1" s="514"/>
      <c r="J1" s="515" t="s">
        <v>2</v>
      </c>
      <c r="K1" s="516"/>
      <c r="L1" s="516"/>
      <c r="M1" s="517"/>
      <c r="N1" s="515" t="s">
        <v>3</v>
      </c>
      <c r="O1" s="517"/>
      <c r="P1" s="515" t="s">
        <v>4</v>
      </c>
      <c r="Q1" s="516"/>
      <c r="R1" s="517"/>
      <c r="S1" s="101" t="s">
        <v>5</v>
      </c>
      <c r="T1" s="101" t="s">
        <v>6</v>
      </c>
      <c r="U1" s="102" t="s">
        <v>7</v>
      </c>
      <c r="V1" s="103" t="s">
        <v>8</v>
      </c>
      <c r="W1" s="103" t="s">
        <v>9</v>
      </c>
      <c r="X1" s="104" t="s">
        <v>10</v>
      </c>
      <c r="Y1" s="518" t="s">
        <v>11</v>
      </c>
      <c r="Z1" s="519"/>
      <c r="AA1" s="519"/>
      <c r="AB1" s="520"/>
      <c r="AC1" s="518" t="s">
        <v>12</v>
      </c>
      <c r="AD1" s="519"/>
      <c r="AE1" s="519"/>
      <c r="AF1" s="520"/>
      <c r="AG1" s="518" t="s">
        <v>13</v>
      </c>
      <c r="AH1" s="519"/>
      <c r="AI1" s="519"/>
      <c r="AJ1" s="520"/>
      <c r="AK1" s="518" t="s">
        <v>14</v>
      </c>
      <c r="AL1" s="519"/>
      <c r="AM1" s="519"/>
      <c r="AN1" s="520"/>
      <c r="AP1" s="508" t="s">
        <v>195</v>
      </c>
      <c r="AQ1" s="508"/>
    </row>
    <row r="2" spans="1:43" ht="17" thickBot="1" x14ac:dyDescent="0.25">
      <c r="A2" s="105" t="s">
        <v>15</v>
      </c>
      <c r="B2" s="106" t="s">
        <v>16</v>
      </c>
      <c r="C2" s="45" t="s">
        <v>17</v>
      </c>
      <c r="D2" s="45" t="s">
        <v>18</v>
      </c>
      <c r="E2" s="46" t="s">
        <v>19</v>
      </c>
      <c r="F2" s="46" t="s">
        <v>20</v>
      </c>
      <c r="G2" s="46" t="s">
        <v>21</v>
      </c>
      <c r="H2" s="47" t="s">
        <v>22</v>
      </c>
      <c r="I2" s="47" t="s">
        <v>23</v>
      </c>
      <c r="J2" s="47" t="s">
        <v>24</v>
      </c>
      <c r="K2" s="47" t="s">
        <v>25</v>
      </c>
      <c r="L2" s="47" t="s">
        <v>26</v>
      </c>
      <c r="M2" s="47" t="s">
        <v>27</v>
      </c>
      <c r="N2" s="47" t="s">
        <v>28</v>
      </c>
      <c r="O2" s="47" t="s">
        <v>19</v>
      </c>
      <c r="P2" s="47" t="s">
        <v>22</v>
      </c>
      <c r="Q2" s="47" t="s">
        <v>23</v>
      </c>
      <c r="R2" s="47" t="s">
        <v>24</v>
      </c>
      <c r="S2" s="107"/>
      <c r="T2" s="108"/>
      <c r="U2" s="109"/>
      <c r="V2" s="107"/>
      <c r="W2" s="110"/>
      <c r="X2" s="48"/>
      <c r="Y2" s="111" t="s">
        <v>29</v>
      </c>
      <c r="Z2" s="111" t="s">
        <v>30</v>
      </c>
      <c r="AA2" s="111" t="s">
        <v>26</v>
      </c>
      <c r="AB2" s="111" t="s">
        <v>31</v>
      </c>
      <c r="AC2" s="111" t="s">
        <v>29</v>
      </c>
      <c r="AD2" s="111" t="s">
        <v>30</v>
      </c>
      <c r="AE2" s="111" t="s">
        <v>26</v>
      </c>
      <c r="AF2" s="111" t="s">
        <v>31</v>
      </c>
      <c r="AG2" s="111" t="s">
        <v>29</v>
      </c>
      <c r="AH2" s="111" t="s">
        <v>30</v>
      </c>
      <c r="AI2" s="111" t="s">
        <v>26</v>
      </c>
      <c r="AJ2" s="111" t="s">
        <v>31</v>
      </c>
      <c r="AK2" s="111" t="s">
        <v>29</v>
      </c>
      <c r="AL2" s="111" t="s">
        <v>30</v>
      </c>
      <c r="AM2" s="111" t="s">
        <v>26</v>
      </c>
      <c r="AN2" s="112" t="s">
        <v>31</v>
      </c>
      <c r="AP2" s="333" t="s">
        <v>187</v>
      </c>
      <c r="AQ2" s="329">
        <f>Y22+77</f>
        <v>94</v>
      </c>
    </row>
    <row r="3" spans="1:43" ht="17" thickBot="1" x14ac:dyDescent="0.25">
      <c r="A3" s="66" t="s">
        <v>32</v>
      </c>
      <c r="B3" s="67" t="s">
        <v>44</v>
      </c>
      <c r="C3" s="68" t="s">
        <v>53</v>
      </c>
      <c r="D3" s="69" t="s">
        <v>47</v>
      </c>
      <c r="E3" s="69" t="s">
        <v>30</v>
      </c>
      <c r="F3" s="69">
        <v>18</v>
      </c>
      <c r="G3" s="70">
        <v>6</v>
      </c>
      <c r="H3" s="71">
        <v>0</v>
      </c>
      <c r="I3" s="72">
        <v>0</v>
      </c>
      <c r="J3" s="72">
        <v>2</v>
      </c>
      <c r="K3" s="72">
        <v>1</v>
      </c>
      <c r="L3" s="72">
        <v>0</v>
      </c>
      <c r="M3" s="72">
        <v>2</v>
      </c>
      <c r="N3" s="72">
        <v>0</v>
      </c>
      <c r="O3" s="72">
        <v>0</v>
      </c>
      <c r="P3" s="72">
        <v>0</v>
      </c>
      <c r="Q3" s="72">
        <v>0</v>
      </c>
      <c r="R3" s="72">
        <v>0</v>
      </c>
      <c r="S3" s="73"/>
      <c r="T3" s="172" t="s">
        <v>219</v>
      </c>
      <c r="U3" s="75" t="s">
        <v>197</v>
      </c>
      <c r="V3" s="76" t="s">
        <v>199</v>
      </c>
      <c r="W3" s="77" t="s">
        <v>198</v>
      </c>
      <c r="X3" s="76" t="s">
        <v>200</v>
      </c>
      <c r="Y3" s="76">
        <v>1</v>
      </c>
      <c r="Z3" s="76">
        <v>1</v>
      </c>
      <c r="AA3" s="76">
        <v>0</v>
      </c>
      <c r="AB3" s="78">
        <v>0</v>
      </c>
      <c r="AC3" s="76">
        <v>1</v>
      </c>
      <c r="AD3" s="76">
        <v>1</v>
      </c>
      <c r="AE3" s="76">
        <v>0</v>
      </c>
      <c r="AF3" s="78">
        <v>0</v>
      </c>
      <c r="AG3" s="76"/>
      <c r="AH3" s="76"/>
      <c r="AI3" s="76"/>
      <c r="AJ3" s="78"/>
      <c r="AK3" s="76"/>
      <c r="AL3" s="76"/>
      <c r="AM3" s="76"/>
      <c r="AN3" s="78"/>
      <c r="AP3" s="333" t="s">
        <v>188</v>
      </c>
      <c r="AQ3" s="329">
        <f>Z22+36</f>
        <v>46</v>
      </c>
    </row>
    <row r="4" spans="1:43" ht="17" thickBot="1" x14ac:dyDescent="0.25">
      <c r="A4" s="66" t="s">
        <v>48</v>
      </c>
      <c r="B4" s="67" t="s">
        <v>44</v>
      </c>
      <c r="C4" s="68" t="s">
        <v>83</v>
      </c>
      <c r="D4" s="69" t="s">
        <v>47</v>
      </c>
      <c r="E4" s="72" t="s">
        <v>30</v>
      </c>
      <c r="F4" s="69">
        <v>34</v>
      </c>
      <c r="G4" s="70">
        <v>19</v>
      </c>
      <c r="H4" s="71">
        <v>1</v>
      </c>
      <c r="I4" s="72">
        <v>0</v>
      </c>
      <c r="J4" s="72">
        <v>6</v>
      </c>
      <c r="K4" s="69">
        <v>1</v>
      </c>
      <c r="L4" s="72">
        <v>0</v>
      </c>
      <c r="M4" s="69">
        <v>0</v>
      </c>
      <c r="N4" s="72">
        <v>0</v>
      </c>
      <c r="O4" s="72">
        <v>0</v>
      </c>
      <c r="P4" s="72">
        <v>0</v>
      </c>
      <c r="Q4" s="69">
        <v>0</v>
      </c>
      <c r="R4" s="72">
        <v>3</v>
      </c>
      <c r="S4" s="73"/>
      <c r="T4" s="80" t="s">
        <v>244</v>
      </c>
      <c r="U4" s="75" t="s">
        <v>208</v>
      </c>
      <c r="V4" s="76" t="s">
        <v>207</v>
      </c>
      <c r="W4" s="76" t="s">
        <v>245</v>
      </c>
      <c r="X4" s="77" t="s">
        <v>246</v>
      </c>
      <c r="Y4" s="76">
        <v>1</v>
      </c>
      <c r="Z4" s="76">
        <v>1</v>
      </c>
      <c r="AA4" s="76">
        <v>0</v>
      </c>
      <c r="AB4" s="78">
        <v>0</v>
      </c>
      <c r="AC4" s="76">
        <v>1</v>
      </c>
      <c r="AD4" s="76">
        <v>1</v>
      </c>
      <c r="AE4" s="76">
        <v>0</v>
      </c>
      <c r="AF4" s="78">
        <v>0</v>
      </c>
      <c r="AG4" s="76"/>
      <c r="AH4" s="76"/>
      <c r="AI4" s="76"/>
      <c r="AJ4" s="78"/>
      <c r="AK4" s="76"/>
      <c r="AL4" s="76"/>
      <c r="AM4" s="76"/>
      <c r="AN4" s="78"/>
      <c r="AP4" s="333" t="s">
        <v>189</v>
      </c>
      <c r="AQ4" s="329">
        <f>AA22+1</f>
        <v>1</v>
      </c>
    </row>
    <row r="5" spans="1:43" ht="17" thickBot="1" x14ac:dyDescent="0.25">
      <c r="A5" s="1" t="s">
        <v>81</v>
      </c>
      <c r="B5" s="2" t="s">
        <v>44</v>
      </c>
      <c r="C5" s="3" t="s">
        <v>46</v>
      </c>
      <c r="D5" s="4" t="s">
        <v>21</v>
      </c>
      <c r="E5" s="4" t="s">
        <v>31</v>
      </c>
      <c r="F5" s="4">
        <v>21</v>
      </c>
      <c r="G5" s="5">
        <v>27</v>
      </c>
      <c r="H5" s="65">
        <v>0</v>
      </c>
      <c r="I5" s="5">
        <v>1</v>
      </c>
      <c r="J5" s="7">
        <v>3</v>
      </c>
      <c r="K5" s="7">
        <v>3</v>
      </c>
      <c r="L5" s="7">
        <v>0</v>
      </c>
      <c r="M5" s="7">
        <v>0</v>
      </c>
      <c r="N5" s="7">
        <v>0</v>
      </c>
      <c r="O5" s="7">
        <v>0</v>
      </c>
      <c r="P5" s="4">
        <v>0</v>
      </c>
      <c r="Q5" s="7">
        <v>0</v>
      </c>
      <c r="R5" s="4">
        <v>3</v>
      </c>
      <c r="S5" s="8"/>
      <c r="T5" s="19" t="s">
        <v>272</v>
      </c>
      <c r="U5" s="10" t="s">
        <v>254</v>
      </c>
      <c r="V5" s="11" t="s">
        <v>206</v>
      </c>
      <c r="W5" s="11" t="s">
        <v>209</v>
      </c>
      <c r="X5" s="12" t="s">
        <v>241</v>
      </c>
      <c r="Y5" s="11">
        <v>1</v>
      </c>
      <c r="Z5" s="11">
        <v>0</v>
      </c>
      <c r="AA5" s="11">
        <v>0</v>
      </c>
      <c r="AB5" s="13">
        <v>1</v>
      </c>
      <c r="AC5" s="11"/>
      <c r="AD5" s="11"/>
      <c r="AE5" s="11"/>
      <c r="AF5" s="13"/>
      <c r="AG5" s="11">
        <v>1</v>
      </c>
      <c r="AH5" s="11">
        <v>0</v>
      </c>
      <c r="AI5" s="11">
        <v>0</v>
      </c>
      <c r="AJ5" s="13">
        <v>1</v>
      </c>
      <c r="AK5" s="11"/>
      <c r="AL5" s="11"/>
      <c r="AM5" s="11"/>
      <c r="AN5" s="13"/>
      <c r="AP5" s="333" t="s">
        <v>190</v>
      </c>
      <c r="AQ5" s="329">
        <f>AB22+40</f>
        <v>47</v>
      </c>
    </row>
    <row r="6" spans="1:43" ht="17" thickBot="1" x14ac:dyDescent="0.25">
      <c r="A6" s="1" t="s">
        <v>82</v>
      </c>
      <c r="B6" s="2" t="s">
        <v>44</v>
      </c>
      <c r="C6" s="3" t="s">
        <v>51</v>
      </c>
      <c r="D6" s="4" t="s">
        <v>21</v>
      </c>
      <c r="E6" s="4" t="s">
        <v>30</v>
      </c>
      <c r="F6" s="4">
        <v>35</v>
      </c>
      <c r="G6" s="5">
        <v>22</v>
      </c>
      <c r="H6" s="5">
        <v>1</v>
      </c>
      <c r="I6" s="7">
        <v>0</v>
      </c>
      <c r="J6" s="4">
        <v>5</v>
      </c>
      <c r="K6" s="4">
        <v>2</v>
      </c>
      <c r="L6" s="7">
        <v>0</v>
      </c>
      <c r="M6" s="7">
        <v>2</v>
      </c>
      <c r="N6" s="7">
        <v>1</v>
      </c>
      <c r="O6" s="7">
        <v>1</v>
      </c>
      <c r="P6" s="7">
        <v>0</v>
      </c>
      <c r="Q6" s="4">
        <v>0</v>
      </c>
      <c r="R6" s="7">
        <v>3</v>
      </c>
      <c r="S6" s="8"/>
      <c r="T6" s="15" t="s">
        <v>305</v>
      </c>
      <c r="U6" s="11" t="s">
        <v>212</v>
      </c>
      <c r="V6" s="11" t="s">
        <v>214</v>
      </c>
      <c r="W6" s="11" t="s">
        <v>273</v>
      </c>
      <c r="X6" s="10" t="s">
        <v>275</v>
      </c>
      <c r="Y6" s="11">
        <v>1</v>
      </c>
      <c r="Z6" s="11">
        <v>1</v>
      </c>
      <c r="AA6" s="11">
        <v>0</v>
      </c>
      <c r="AB6" s="13">
        <v>0</v>
      </c>
      <c r="AC6" s="11"/>
      <c r="AD6" s="11"/>
      <c r="AE6" s="11"/>
      <c r="AF6" s="13"/>
      <c r="AG6" s="11">
        <v>1</v>
      </c>
      <c r="AH6" s="11">
        <v>1</v>
      </c>
      <c r="AI6" s="11">
        <v>0</v>
      </c>
      <c r="AJ6" s="13">
        <v>0</v>
      </c>
      <c r="AK6" s="11"/>
      <c r="AL6" s="11"/>
      <c r="AM6" s="11"/>
      <c r="AN6" s="13"/>
      <c r="AP6" s="333" t="s">
        <v>191</v>
      </c>
      <c r="AQ6" s="329">
        <f>F22+1879</f>
        <v>2310</v>
      </c>
    </row>
    <row r="7" spans="1:43" ht="17" thickBot="1" x14ac:dyDescent="0.25">
      <c r="A7" s="66" t="s">
        <v>54</v>
      </c>
      <c r="B7" s="67" t="s">
        <v>44</v>
      </c>
      <c r="C7" s="68" t="s">
        <v>57</v>
      </c>
      <c r="D7" s="69" t="s">
        <v>47</v>
      </c>
      <c r="E7" s="72" t="s">
        <v>31</v>
      </c>
      <c r="F7" s="69">
        <v>21</v>
      </c>
      <c r="G7" s="70">
        <v>38</v>
      </c>
      <c r="H7" s="71">
        <v>0</v>
      </c>
      <c r="I7" s="69">
        <v>0</v>
      </c>
      <c r="J7" s="72">
        <v>3</v>
      </c>
      <c r="K7" s="72">
        <v>3</v>
      </c>
      <c r="L7" s="72">
        <v>0</v>
      </c>
      <c r="M7" s="72">
        <v>0</v>
      </c>
      <c r="N7" s="72">
        <v>0</v>
      </c>
      <c r="O7" s="72">
        <v>1</v>
      </c>
      <c r="P7" s="72">
        <v>1</v>
      </c>
      <c r="Q7" s="72">
        <v>0</v>
      </c>
      <c r="R7" s="72">
        <v>6</v>
      </c>
      <c r="S7" s="73"/>
      <c r="T7" s="84" t="s">
        <v>332</v>
      </c>
      <c r="U7" s="75" t="s">
        <v>294</v>
      </c>
      <c r="V7" s="76" t="s">
        <v>326</v>
      </c>
      <c r="W7" s="76" t="s">
        <v>205</v>
      </c>
      <c r="X7" s="77" t="s">
        <v>198</v>
      </c>
      <c r="Y7" s="76">
        <v>1</v>
      </c>
      <c r="Z7" s="76">
        <v>0</v>
      </c>
      <c r="AA7" s="76">
        <v>0</v>
      </c>
      <c r="AB7" s="78">
        <v>1</v>
      </c>
      <c r="AC7" s="76">
        <v>1</v>
      </c>
      <c r="AD7" s="76">
        <v>0</v>
      </c>
      <c r="AE7" s="76">
        <v>0</v>
      </c>
      <c r="AF7" s="78">
        <v>1</v>
      </c>
      <c r="AG7" s="76"/>
      <c r="AH7" s="76"/>
      <c r="AI7" s="76"/>
      <c r="AJ7" s="78"/>
      <c r="AK7" s="76"/>
      <c r="AL7" s="76"/>
      <c r="AM7" s="76"/>
      <c r="AN7" s="78"/>
      <c r="AP7" s="333" t="s">
        <v>192</v>
      </c>
      <c r="AQ7" s="329">
        <f>G22+2126</f>
        <v>2520</v>
      </c>
    </row>
    <row r="8" spans="1:43" ht="17" thickBot="1" x14ac:dyDescent="0.25">
      <c r="A8" s="1" t="s">
        <v>56</v>
      </c>
      <c r="B8" s="2" t="s">
        <v>44</v>
      </c>
      <c r="C8" s="3" t="s">
        <v>66</v>
      </c>
      <c r="D8" s="4" t="s">
        <v>21</v>
      </c>
      <c r="E8" s="7" t="s">
        <v>31</v>
      </c>
      <c r="F8" s="4">
        <v>20</v>
      </c>
      <c r="G8" s="5">
        <v>33</v>
      </c>
      <c r="H8" s="6">
        <v>0</v>
      </c>
      <c r="I8" s="4">
        <v>0</v>
      </c>
      <c r="J8" s="7">
        <v>2</v>
      </c>
      <c r="K8" s="7">
        <v>2</v>
      </c>
      <c r="L8" s="7">
        <v>0</v>
      </c>
      <c r="M8" s="7">
        <v>2</v>
      </c>
      <c r="N8" s="7">
        <v>2</v>
      </c>
      <c r="O8" s="7">
        <v>0</v>
      </c>
      <c r="P8" s="4">
        <v>1</v>
      </c>
      <c r="Q8" s="7">
        <v>0</v>
      </c>
      <c r="R8" s="7">
        <v>5</v>
      </c>
      <c r="S8" s="8"/>
      <c r="T8" s="19" t="s">
        <v>343</v>
      </c>
      <c r="U8" s="10" t="s">
        <v>254</v>
      </c>
      <c r="V8" s="11" t="s">
        <v>242</v>
      </c>
      <c r="W8" s="11" t="s">
        <v>215</v>
      </c>
      <c r="X8" s="12" t="s">
        <v>259</v>
      </c>
      <c r="Y8" s="11">
        <v>1</v>
      </c>
      <c r="Z8" s="11">
        <v>0</v>
      </c>
      <c r="AA8" s="11">
        <v>0</v>
      </c>
      <c r="AB8" s="13">
        <v>1</v>
      </c>
      <c r="AC8" s="11"/>
      <c r="AD8" s="11"/>
      <c r="AE8" s="11"/>
      <c r="AF8" s="13"/>
      <c r="AG8" s="11">
        <v>1</v>
      </c>
      <c r="AH8" s="11">
        <v>0</v>
      </c>
      <c r="AI8" s="11">
        <v>0</v>
      </c>
      <c r="AJ8" s="13">
        <v>1</v>
      </c>
      <c r="AK8" s="11"/>
      <c r="AL8" s="11"/>
      <c r="AM8" s="11"/>
      <c r="AN8" s="13"/>
      <c r="AP8" s="333" t="s">
        <v>193</v>
      </c>
      <c r="AQ8" s="329">
        <f>J22+258</f>
        <v>319</v>
      </c>
    </row>
    <row r="9" spans="1:43" ht="17" thickBot="1" x14ac:dyDescent="0.25">
      <c r="A9" s="66" t="s">
        <v>35</v>
      </c>
      <c r="B9" s="67" t="s">
        <v>44</v>
      </c>
      <c r="C9" s="68" t="s">
        <v>52</v>
      </c>
      <c r="D9" s="69" t="s">
        <v>47</v>
      </c>
      <c r="E9" s="72" t="s">
        <v>31</v>
      </c>
      <c r="F9" s="69">
        <v>27</v>
      </c>
      <c r="G9" s="70">
        <v>42</v>
      </c>
      <c r="H9" s="71">
        <v>1</v>
      </c>
      <c r="I9" s="72">
        <v>0</v>
      </c>
      <c r="J9" s="72">
        <v>4</v>
      </c>
      <c r="K9" s="72">
        <v>2</v>
      </c>
      <c r="L9" s="72">
        <v>0</v>
      </c>
      <c r="M9" s="72">
        <v>1</v>
      </c>
      <c r="N9" s="72">
        <v>2</v>
      </c>
      <c r="O9" s="72">
        <v>1</v>
      </c>
      <c r="P9" s="72">
        <v>1</v>
      </c>
      <c r="Q9" s="72">
        <v>0</v>
      </c>
      <c r="R9" s="72">
        <v>5</v>
      </c>
      <c r="S9" s="73"/>
      <c r="T9" s="74" t="s">
        <v>347</v>
      </c>
      <c r="U9" s="75" t="s">
        <v>215</v>
      </c>
      <c r="V9" s="76" t="s">
        <v>207</v>
      </c>
      <c r="W9" s="76" t="s">
        <v>205</v>
      </c>
      <c r="X9" s="77" t="s">
        <v>200</v>
      </c>
      <c r="Y9" s="76">
        <v>1</v>
      </c>
      <c r="Z9" s="76">
        <v>0</v>
      </c>
      <c r="AA9" s="76">
        <v>0</v>
      </c>
      <c r="AB9" s="78">
        <v>1</v>
      </c>
      <c r="AC9" s="76">
        <v>1</v>
      </c>
      <c r="AD9" s="76">
        <v>0</v>
      </c>
      <c r="AE9" s="76">
        <v>0</v>
      </c>
      <c r="AF9" s="78">
        <v>1</v>
      </c>
      <c r="AG9" s="76"/>
      <c r="AH9" s="76"/>
      <c r="AI9" s="76"/>
      <c r="AJ9" s="78"/>
      <c r="AK9" s="76"/>
      <c r="AL9" s="76"/>
      <c r="AM9" s="76"/>
      <c r="AN9" s="78"/>
      <c r="AP9" s="333" t="s">
        <v>194</v>
      </c>
      <c r="AQ9" s="329">
        <f>R22+288</f>
        <v>341</v>
      </c>
    </row>
    <row r="10" spans="1:43" ht="17" thickBot="1" x14ac:dyDescent="0.25">
      <c r="A10" s="1" t="s">
        <v>58</v>
      </c>
      <c r="B10" s="2" t="s">
        <v>44</v>
      </c>
      <c r="C10" s="3" t="s">
        <v>83</v>
      </c>
      <c r="D10" s="4" t="s">
        <v>21</v>
      </c>
      <c r="E10" s="4" t="s">
        <v>30</v>
      </c>
      <c r="F10" s="4">
        <v>40</v>
      </c>
      <c r="G10" s="5">
        <v>5</v>
      </c>
      <c r="H10" s="6">
        <v>1</v>
      </c>
      <c r="I10" s="7">
        <v>0</v>
      </c>
      <c r="J10" s="7">
        <v>6</v>
      </c>
      <c r="K10" s="7">
        <v>4</v>
      </c>
      <c r="L10" s="7">
        <v>0</v>
      </c>
      <c r="M10" s="7">
        <v>0</v>
      </c>
      <c r="N10" s="4">
        <v>0</v>
      </c>
      <c r="O10" s="7">
        <v>0</v>
      </c>
      <c r="P10" s="7">
        <v>0</v>
      </c>
      <c r="Q10" s="4">
        <v>0</v>
      </c>
      <c r="R10" s="7">
        <v>1</v>
      </c>
      <c r="S10" s="8"/>
      <c r="T10" s="15" t="s">
        <v>360</v>
      </c>
      <c r="U10" s="10" t="s">
        <v>212</v>
      </c>
      <c r="V10" s="11" t="s">
        <v>337</v>
      </c>
      <c r="W10" s="11" t="s">
        <v>258</v>
      </c>
      <c r="X10" s="12" t="s">
        <v>356</v>
      </c>
      <c r="Y10" s="11">
        <v>1</v>
      </c>
      <c r="Z10" s="11">
        <v>1</v>
      </c>
      <c r="AA10" s="11">
        <v>0</v>
      </c>
      <c r="AB10" s="13">
        <v>0</v>
      </c>
      <c r="AC10" s="11"/>
      <c r="AD10" s="11"/>
      <c r="AE10" s="11"/>
      <c r="AF10" s="13"/>
      <c r="AG10" s="11">
        <v>1</v>
      </c>
      <c r="AH10" s="11">
        <v>1</v>
      </c>
      <c r="AI10" s="11">
        <v>0</v>
      </c>
      <c r="AJ10" s="13">
        <v>0</v>
      </c>
      <c r="AK10" s="11"/>
      <c r="AL10" s="11"/>
      <c r="AM10" s="11"/>
      <c r="AN10" s="13"/>
    </row>
    <row r="11" spans="1:43" ht="17" thickBot="1" x14ac:dyDescent="0.25">
      <c r="A11" s="66" t="s">
        <v>36</v>
      </c>
      <c r="B11" s="67" t="s">
        <v>44</v>
      </c>
      <c r="C11" s="68" t="s">
        <v>60</v>
      </c>
      <c r="D11" s="69" t="s">
        <v>47</v>
      </c>
      <c r="E11" s="69" t="s">
        <v>30</v>
      </c>
      <c r="F11" s="69">
        <v>32</v>
      </c>
      <c r="G11" s="70">
        <v>31</v>
      </c>
      <c r="H11" s="71">
        <v>1</v>
      </c>
      <c r="I11" s="72">
        <v>0</v>
      </c>
      <c r="J11" s="72">
        <v>4</v>
      </c>
      <c r="K11" s="72">
        <v>3</v>
      </c>
      <c r="L11" s="72">
        <v>0</v>
      </c>
      <c r="M11" s="72">
        <v>2</v>
      </c>
      <c r="N11" s="72">
        <v>1</v>
      </c>
      <c r="O11" s="72">
        <v>0</v>
      </c>
      <c r="P11" s="72">
        <v>1</v>
      </c>
      <c r="Q11" s="69">
        <v>1</v>
      </c>
      <c r="R11" s="72">
        <v>4</v>
      </c>
      <c r="S11" s="73"/>
      <c r="T11" s="172" t="s">
        <v>395</v>
      </c>
      <c r="U11" s="75" t="s">
        <v>205</v>
      </c>
      <c r="V11" s="76" t="s">
        <v>211</v>
      </c>
      <c r="W11" s="76" t="s">
        <v>212</v>
      </c>
      <c r="X11" s="77" t="s">
        <v>388</v>
      </c>
      <c r="Y11" s="76">
        <v>1</v>
      </c>
      <c r="Z11" s="76">
        <v>1</v>
      </c>
      <c r="AA11" s="76">
        <v>0</v>
      </c>
      <c r="AB11" s="78">
        <v>0</v>
      </c>
      <c r="AC11" s="76">
        <v>1</v>
      </c>
      <c r="AD11" s="76">
        <v>1</v>
      </c>
      <c r="AE11" s="76">
        <v>0</v>
      </c>
      <c r="AF11" s="78">
        <v>0</v>
      </c>
      <c r="AG11" s="76"/>
      <c r="AH11" s="76"/>
      <c r="AI11" s="76"/>
      <c r="AJ11" s="78"/>
      <c r="AK11" s="76"/>
      <c r="AL11" s="76"/>
      <c r="AM11" s="76"/>
      <c r="AN11" s="78"/>
    </row>
    <row r="12" spans="1:43" ht="17" thickBot="1" x14ac:dyDescent="0.25">
      <c r="A12" s="81" t="s">
        <v>98</v>
      </c>
      <c r="B12" s="67" t="s">
        <v>44</v>
      </c>
      <c r="C12" s="68" t="s">
        <v>55</v>
      </c>
      <c r="D12" s="69" t="s">
        <v>47</v>
      </c>
      <c r="E12" s="69" t="s">
        <v>30</v>
      </c>
      <c r="F12" s="69">
        <v>21</v>
      </c>
      <c r="G12" s="70">
        <v>14</v>
      </c>
      <c r="H12" s="71">
        <v>0</v>
      </c>
      <c r="I12" s="72">
        <v>0</v>
      </c>
      <c r="J12" s="72">
        <v>3</v>
      </c>
      <c r="K12" s="72">
        <v>3</v>
      </c>
      <c r="L12" s="72">
        <v>0</v>
      </c>
      <c r="M12" s="72">
        <v>0</v>
      </c>
      <c r="N12" s="69">
        <v>0</v>
      </c>
      <c r="O12" s="72">
        <v>0</v>
      </c>
      <c r="P12" s="72">
        <v>0</v>
      </c>
      <c r="Q12" s="72">
        <v>1</v>
      </c>
      <c r="R12" s="72">
        <v>2</v>
      </c>
      <c r="S12" s="82"/>
      <c r="T12" s="80" t="s">
        <v>363</v>
      </c>
      <c r="U12" s="75" t="s">
        <v>214</v>
      </c>
      <c r="V12" s="383" t="s">
        <v>337</v>
      </c>
      <c r="W12" s="76" t="s">
        <v>249</v>
      </c>
      <c r="X12" s="77" t="s">
        <v>388</v>
      </c>
      <c r="Y12" s="76">
        <v>1</v>
      </c>
      <c r="Z12" s="76">
        <v>1</v>
      </c>
      <c r="AA12" s="76">
        <v>0</v>
      </c>
      <c r="AB12" s="78">
        <v>0</v>
      </c>
      <c r="AC12" s="76">
        <v>1</v>
      </c>
      <c r="AD12" s="76">
        <v>1</v>
      </c>
      <c r="AE12" s="76">
        <v>0</v>
      </c>
      <c r="AF12" s="78">
        <v>0</v>
      </c>
      <c r="AG12" s="76"/>
      <c r="AH12" s="76"/>
      <c r="AI12" s="76"/>
      <c r="AJ12" s="78"/>
      <c r="AK12" s="76"/>
      <c r="AL12" s="76"/>
      <c r="AM12" s="76"/>
      <c r="AN12" s="78"/>
    </row>
    <row r="13" spans="1:43" ht="17" thickBot="1" x14ac:dyDescent="0.25">
      <c r="A13" s="16" t="s">
        <v>86</v>
      </c>
      <c r="B13" s="2" t="s">
        <v>44</v>
      </c>
      <c r="C13" s="3" t="s">
        <v>57</v>
      </c>
      <c r="D13" s="4" t="s">
        <v>21</v>
      </c>
      <c r="E13" s="4" t="s">
        <v>30</v>
      </c>
      <c r="F13" s="4">
        <v>25</v>
      </c>
      <c r="G13" s="5">
        <v>13</v>
      </c>
      <c r="H13" s="6">
        <v>0</v>
      </c>
      <c r="I13" s="7">
        <v>0</v>
      </c>
      <c r="J13" s="7">
        <v>3</v>
      </c>
      <c r="K13" s="7">
        <v>2</v>
      </c>
      <c r="L13" s="7">
        <v>0</v>
      </c>
      <c r="M13" s="7">
        <v>2</v>
      </c>
      <c r="N13" s="7">
        <v>1</v>
      </c>
      <c r="O13" s="7">
        <v>0</v>
      </c>
      <c r="P13" s="7">
        <v>0</v>
      </c>
      <c r="Q13" s="7">
        <v>0</v>
      </c>
      <c r="R13" s="7">
        <v>2</v>
      </c>
      <c r="S13" s="17"/>
      <c r="T13" s="384" t="s">
        <v>417</v>
      </c>
      <c r="U13" s="10" t="s">
        <v>197</v>
      </c>
      <c r="V13" s="11" t="s">
        <v>337</v>
      </c>
      <c r="W13" s="11" t="s">
        <v>214</v>
      </c>
      <c r="X13" s="12" t="s">
        <v>296</v>
      </c>
      <c r="Y13" s="11">
        <v>1</v>
      </c>
      <c r="Z13" s="11">
        <v>1</v>
      </c>
      <c r="AA13" s="11">
        <v>0</v>
      </c>
      <c r="AB13" s="13">
        <v>0</v>
      </c>
      <c r="AC13" s="11"/>
      <c r="AD13" s="11"/>
      <c r="AE13" s="11"/>
      <c r="AF13" s="13"/>
      <c r="AG13" s="11">
        <v>1</v>
      </c>
      <c r="AH13" s="11">
        <v>1</v>
      </c>
      <c r="AI13" s="11">
        <v>0</v>
      </c>
      <c r="AJ13" s="13">
        <v>0</v>
      </c>
      <c r="AK13" s="11"/>
      <c r="AL13" s="11"/>
      <c r="AM13" s="11"/>
      <c r="AN13" s="13"/>
    </row>
    <row r="14" spans="1:43" ht="17" thickBot="1" x14ac:dyDescent="0.25">
      <c r="A14" s="81" t="s">
        <v>95</v>
      </c>
      <c r="B14" s="67" t="s">
        <v>44</v>
      </c>
      <c r="C14" s="68" t="s">
        <v>61</v>
      </c>
      <c r="D14" s="69" t="s">
        <v>47</v>
      </c>
      <c r="E14" s="69" t="s">
        <v>31</v>
      </c>
      <c r="F14" s="69">
        <v>7</v>
      </c>
      <c r="G14" s="70">
        <v>21</v>
      </c>
      <c r="H14" s="71">
        <v>0</v>
      </c>
      <c r="I14" s="72">
        <v>0</v>
      </c>
      <c r="J14" s="72">
        <v>1</v>
      </c>
      <c r="K14" s="72">
        <v>1</v>
      </c>
      <c r="L14" s="72">
        <v>0</v>
      </c>
      <c r="M14" s="72">
        <v>0</v>
      </c>
      <c r="N14" s="72">
        <v>0</v>
      </c>
      <c r="O14" s="72">
        <v>1</v>
      </c>
      <c r="P14" s="72">
        <v>0</v>
      </c>
      <c r="Q14" s="72">
        <v>0</v>
      </c>
      <c r="R14" s="72">
        <v>3</v>
      </c>
      <c r="S14" s="82"/>
      <c r="T14" s="83" t="s">
        <v>424</v>
      </c>
      <c r="U14" s="75" t="s">
        <v>258</v>
      </c>
      <c r="V14" s="76" t="s">
        <v>207</v>
      </c>
      <c r="W14" s="76" t="s">
        <v>200</v>
      </c>
      <c r="X14" s="77" t="s">
        <v>422</v>
      </c>
      <c r="Y14" s="76">
        <v>1</v>
      </c>
      <c r="Z14" s="76">
        <v>0</v>
      </c>
      <c r="AA14" s="76">
        <v>0</v>
      </c>
      <c r="AB14" s="78">
        <v>1</v>
      </c>
      <c r="AC14" s="76">
        <v>1</v>
      </c>
      <c r="AD14" s="76">
        <v>0</v>
      </c>
      <c r="AE14" s="76">
        <v>0</v>
      </c>
      <c r="AF14" s="78">
        <v>1</v>
      </c>
      <c r="AG14" s="76"/>
      <c r="AH14" s="76"/>
      <c r="AI14" s="76"/>
      <c r="AJ14" s="78"/>
      <c r="AK14" s="76"/>
      <c r="AL14" s="76"/>
      <c r="AM14" s="76"/>
      <c r="AN14" s="78"/>
    </row>
    <row r="15" spans="1:43" ht="17" thickBot="1" x14ac:dyDescent="0.25">
      <c r="A15" s="16" t="s">
        <v>65</v>
      </c>
      <c r="B15" s="2" t="s">
        <v>44</v>
      </c>
      <c r="C15" s="3" t="s">
        <v>52</v>
      </c>
      <c r="D15" s="4" t="s">
        <v>21</v>
      </c>
      <c r="E15" s="4" t="s">
        <v>30</v>
      </c>
      <c r="F15" s="4">
        <v>20</v>
      </c>
      <c r="G15" s="5">
        <v>13</v>
      </c>
      <c r="H15" s="6">
        <v>0</v>
      </c>
      <c r="I15" s="7">
        <v>0</v>
      </c>
      <c r="J15" s="7">
        <v>2</v>
      </c>
      <c r="K15" s="7">
        <v>2</v>
      </c>
      <c r="L15" s="7">
        <v>0</v>
      </c>
      <c r="M15" s="7">
        <v>2</v>
      </c>
      <c r="N15" s="7">
        <v>0</v>
      </c>
      <c r="O15" s="7">
        <v>0</v>
      </c>
      <c r="P15" s="7">
        <v>0</v>
      </c>
      <c r="Q15" s="7">
        <v>1</v>
      </c>
      <c r="R15" s="7">
        <v>1</v>
      </c>
      <c r="S15" s="17"/>
      <c r="T15" s="14" t="s">
        <v>377</v>
      </c>
      <c r="U15" s="10" t="s">
        <v>214</v>
      </c>
      <c r="V15" s="11" t="s">
        <v>211</v>
      </c>
      <c r="W15" s="11" t="s">
        <v>254</v>
      </c>
      <c r="X15" s="12" t="s">
        <v>210</v>
      </c>
      <c r="Y15" s="11">
        <v>1</v>
      </c>
      <c r="Z15" s="11">
        <v>1</v>
      </c>
      <c r="AA15" s="11">
        <v>0</v>
      </c>
      <c r="AB15" s="13">
        <v>0</v>
      </c>
      <c r="AC15" s="11"/>
      <c r="AD15" s="11"/>
      <c r="AE15" s="11"/>
      <c r="AF15" s="13"/>
      <c r="AG15" s="11">
        <v>1</v>
      </c>
      <c r="AH15" s="11">
        <v>1</v>
      </c>
      <c r="AI15" s="11">
        <v>0</v>
      </c>
      <c r="AJ15" s="13">
        <v>0</v>
      </c>
      <c r="AK15" s="11"/>
      <c r="AL15" s="11"/>
      <c r="AM15" s="11"/>
      <c r="AN15" s="13"/>
    </row>
    <row r="16" spans="1:43" ht="17" thickBot="1" x14ac:dyDescent="0.25">
      <c r="A16" s="16" t="s">
        <v>88</v>
      </c>
      <c r="B16" s="2" t="s">
        <v>44</v>
      </c>
      <c r="C16" s="3" t="s">
        <v>63</v>
      </c>
      <c r="D16" s="4" t="s">
        <v>21</v>
      </c>
      <c r="E16" s="4" t="s">
        <v>30</v>
      </c>
      <c r="F16" s="4">
        <v>38</v>
      </c>
      <c r="G16" s="5">
        <v>21</v>
      </c>
      <c r="H16" s="6">
        <v>1</v>
      </c>
      <c r="I16" s="7">
        <v>0</v>
      </c>
      <c r="J16" s="7">
        <v>6</v>
      </c>
      <c r="K16" s="7">
        <v>4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3</v>
      </c>
      <c r="S16" s="17"/>
      <c r="T16" s="14" t="s">
        <v>261</v>
      </c>
      <c r="U16" s="10" t="s">
        <v>214</v>
      </c>
      <c r="V16" s="11" t="s">
        <v>242</v>
      </c>
      <c r="W16" s="11" t="s">
        <v>215</v>
      </c>
      <c r="X16" s="11" t="s">
        <v>216</v>
      </c>
      <c r="Y16" s="11">
        <v>1</v>
      </c>
      <c r="Z16" s="11">
        <v>1</v>
      </c>
      <c r="AA16" s="11">
        <v>0</v>
      </c>
      <c r="AB16" s="13">
        <v>0</v>
      </c>
      <c r="AC16" s="11"/>
      <c r="AD16" s="11"/>
      <c r="AE16" s="11"/>
      <c r="AF16" s="13"/>
      <c r="AG16" s="11">
        <v>1</v>
      </c>
      <c r="AH16" s="11">
        <v>1</v>
      </c>
      <c r="AI16" s="11">
        <v>0</v>
      </c>
      <c r="AJ16" s="13">
        <v>0</v>
      </c>
      <c r="AK16" s="11"/>
      <c r="AL16" s="11"/>
      <c r="AM16" s="11"/>
      <c r="AN16" s="13"/>
    </row>
    <row r="17" spans="1:40" ht="17" thickBot="1" x14ac:dyDescent="0.25">
      <c r="A17" s="81" t="s">
        <v>38</v>
      </c>
      <c r="B17" s="67" t="s">
        <v>44</v>
      </c>
      <c r="C17" s="68" t="s">
        <v>46</v>
      </c>
      <c r="D17" s="69" t="s">
        <v>47</v>
      </c>
      <c r="E17" s="69" t="s">
        <v>30</v>
      </c>
      <c r="F17" s="69">
        <v>27</v>
      </c>
      <c r="G17" s="70">
        <v>17</v>
      </c>
      <c r="H17" s="71">
        <v>1</v>
      </c>
      <c r="I17" s="72">
        <v>0</v>
      </c>
      <c r="J17" s="72">
        <v>4</v>
      </c>
      <c r="K17" s="72">
        <v>1</v>
      </c>
      <c r="L17" s="72">
        <v>0</v>
      </c>
      <c r="M17" s="72">
        <v>1</v>
      </c>
      <c r="N17" s="69">
        <v>0</v>
      </c>
      <c r="O17" s="72">
        <v>1</v>
      </c>
      <c r="P17" s="72">
        <v>0</v>
      </c>
      <c r="Q17" s="72">
        <v>0</v>
      </c>
      <c r="R17" s="72">
        <v>2</v>
      </c>
      <c r="S17" s="73"/>
      <c r="T17" s="80" t="s">
        <v>253</v>
      </c>
      <c r="U17" s="76" t="s">
        <v>205</v>
      </c>
      <c r="V17" s="76" t="s">
        <v>337</v>
      </c>
      <c r="W17" s="76" t="s">
        <v>212</v>
      </c>
      <c r="X17" s="76" t="s">
        <v>198</v>
      </c>
      <c r="Y17" s="76">
        <v>1</v>
      </c>
      <c r="Z17" s="76">
        <v>1</v>
      </c>
      <c r="AA17" s="76">
        <v>0</v>
      </c>
      <c r="AB17" s="78">
        <v>0</v>
      </c>
      <c r="AC17" s="76">
        <v>1</v>
      </c>
      <c r="AD17" s="76">
        <v>1</v>
      </c>
      <c r="AE17" s="76">
        <v>0</v>
      </c>
      <c r="AF17" s="78">
        <v>0</v>
      </c>
      <c r="AG17" s="76"/>
      <c r="AH17" s="76"/>
      <c r="AI17" s="76"/>
      <c r="AJ17" s="78"/>
      <c r="AK17" s="76"/>
      <c r="AL17" s="76"/>
      <c r="AM17" s="76"/>
      <c r="AN17" s="78"/>
    </row>
    <row r="18" spans="1:40" ht="17" thickBot="1" x14ac:dyDescent="0.25">
      <c r="A18" s="16" t="s">
        <v>89</v>
      </c>
      <c r="B18" s="2" t="s">
        <v>44</v>
      </c>
      <c r="C18" s="20" t="s">
        <v>53</v>
      </c>
      <c r="D18" s="21" t="s">
        <v>21</v>
      </c>
      <c r="E18" s="21" t="s">
        <v>31</v>
      </c>
      <c r="F18" s="22">
        <v>24</v>
      </c>
      <c r="G18" s="23">
        <v>27</v>
      </c>
      <c r="H18" s="24">
        <v>1</v>
      </c>
      <c r="I18" s="25">
        <v>1</v>
      </c>
      <c r="J18" s="25">
        <v>4</v>
      </c>
      <c r="K18" s="25">
        <v>1</v>
      </c>
      <c r="L18" s="25">
        <v>0</v>
      </c>
      <c r="M18" s="25">
        <v>0</v>
      </c>
      <c r="N18" s="25">
        <v>1</v>
      </c>
      <c r="O18" s="25">
        <v>0</v>
      </c>
      <c r="P18" s="25">
        <v>1</v>
      </c>
      <c r="Q18" s="25">
        <v>0</v>
      </c>
      <c r="R18" s="25">
        <v>4</v>
      </c>
      <c r="S18" s="26"/>
      <c r="T18" s="27" t="s">
        <v>354</v>
      </c>
      <c r="U18" s="28" t="s">
        <v>205</v>
      </c>
      <c r="V18" s="28" t="s">
        <v>297</v>
      </c>
      <c r="W18" s="28" t="s">
        <v>273</v>
      </c>
      <c r="X18" s="29" t="s">
        <v>295</v>
      </c>
      <c r="Y18" s="28">
        <v>1</v>
      </c>
      <c r="Z18" s="28">
        <v>0</v>
      </c>
      <c r="AA18" s="28">
        <v>0</v>
      </c>
      <c r="AB18" s="30">
        <v>1</v>
      </c>
      <c r="AC18" s="28"/>
      <c r="AD18" s="28"/>
      <c r="AE18" s="28"/>
      <c r="AF18" s="30"/>
      <c r="AG18" s="28">
        <v>1</v>
      </c>
      <c r="AH18" s="28">
        <v>0</v>
      </c>
      <c r="AI18" s="28">
        <v>0</v>
      </c>
      <c r="AJ18" s="30">
        <v>1</v>
      </c>
      <c r="AK18" s="28"/>
      <c r="AL18" s="28"/>
      <c r="AM18" s="28"/>
      <c r="AN18" s="30"/>
    </row>
    <row r="19" spans="1:40" ht="17" thickBot="1" x14ac:dyDescent="0.25">
      <c r="A19" s="398" t="s">
        <v>477</v>
      </c>
      <c r="B19" s="398" t="s">
        <v>479</v>
      </c>
      <c r="C19" s="399" t="s">
        <v>57</v>
      </c>
      <c r="D19" s="32" t="s">
        <v>47</v>
      </c>
      <c r="E19" s="69" t="s">
        <v>31</v>
      </c>
      <c r="F19" s="69">
        <v>21</v>
      </c>
      <c r="G19" s="70">
        <v>45</v>
      </c>
      <c r="H19" s="71" t="s">
        <v>483</v>
      </c>
      <c r="I19" s="72" t="s">
        <v>483</v>
      </c>
      <c r="J19" s="72">
        <v>3</v>
      </c>
      <c r="K19" s="72">
        <v>0</v>
      </c>
      <c r="L19" s="72">
        <v>0</v>
      </c>
      <c r="M19" s="72">
        <v>2</v>
      </c>
      <c r="N19" s="72">
        <v>2</v>
      </c>
      <c r="O19" s="72">
        <v>0</v>
      </c>
      <c r="P19" s="72" t="s">
        <v>483</v>
      </c>
      <c r="Q19" s="72" t="s">
        <v>483</v>
      </c>
      <c r="R19" s="72">
        <v>6</v>
      </c>
      <c r="S19" s="82"/>
      <c r="T19" s="400" t="s">
        <v>488</v>
      </c>
      <c r="U19" s="76" t="s">
        <v>214</v>
      </c>
      <c r="V19" s="76" t="s">
        <v>337</v>
      </c>
      <c r="W19" s="76" t="s">
        <v>212</v>
      </c>
      <c r="X19" s="401" t="s">
        <v>207</v>
      </c>
      <c r="Y19" s="76">
        <v>1</v>
      </c>
      <c r="Z19" s="76">
        <v>0</v>
      </c>
      <c r="AA19" s="76">
        <v>0</v>
      </c>
      <c r="AB19" s="78">
        <v>1</v>
      </c>
      <c r="AC19" s="76">
        <v>1</v>
      </c>
      <c r="AD19" s="76">
        <v>0</v>
      </c>
      <c r="AE19" s="76">
        <v>0</v>
      </c>
      <c r="AF19" s="78">
        <v>1</v>
      </c>
      <c r="AG19" s="76"/>
      <c r="AH19" s="76"/>
      <c r="AI19" s="76"/>
      <c r="AJ19" s="78"/>
      <c r="AK19" s="76"/>
      <c r="AL19" s="76"/>
      <c r="AM19" s="76"/>
      <c r="AN19" s="78"/>
    </row>
    <row r="20" spans="1:40" ht="17" thickBot="1" x14ac:dyDescent="0.25">
      <c r="A20" s="33"/>
      <c r="B20" s="34"/>
      <c r="C20" s="425" t="s">
        <v>40</v>
      </c>
      <c r="D20" s="426"/>
      <c r="E20" s="427"/>
      <c r="F20" s="38">
        <f t="shared" ref="F20:R20" si="0">SUM(F3+F4+F5+F6+F7+F8+F9+F10+F11+F12+F13+F14+F15+F16+F17+F18)</f>
        <v>410</v>
      </c>
      <c r="G20" s="38">
        <f t="shared" si="0"/>
        <v>349</v>
      </c>
      <c r="H20" s="38">
        <f t="shared" si="0"/>
        <v>8</v>
      </c>
      <c r="I20" s="38">
        <f t="shared" si="0"/>
        <v>2</v>
      </c>
      <c r="J20" s="38">
        <f t="shared" si="0"/>
        <v>58</v>
      </c>
      <c r="K20" s="38">
        <f t="shared" si="0"/>
        <v>35</v>
      </c>
      <c r="L20" s="38">
        <f t="shared" si="0"/>
        <v>0</v>
      </c>
      <c r="M20" s="38">
        <f t="shared" si="0"/>
        <v>14</v>
      </c>
      <c r="N20" s="38">
        <f t="shared" si="0"/>
        <v>8</v>
      </c>
      <c r="O20" s="38">
        <f t="shared" si="0"/>
        <v>5</v>
      </c>
      <c r="P20" s="38">
        <f t="shared" si="0"/>
        <v>5</v>
      </c>
      <c r="Q20" s="38">
        <f t="shared" si="0"/>
        <v>3</v>
      </c>
      <c r="R20" s="38">
        <f t="shared" si="0"/>
        <v>47</v>
      </c>
      <c r="S20" s="39"/>
      <c r="T20" s="39"/>
      <c r="U20" s="39"/>
      <c r="V20" s="39"/>
      <c r="W20" s="40"/>
      <c r="X20" s="41" t="s">
        <v>40</v>
      </c>
      <c r="Y20" s="38">
        <f t="shared" ref="Y20:AN20" si="1">Y3+Y4+Y5+Y6+Y7+Y8+Y9+Y10+Y11+Y12+Y13+Y14+Y15+Y16+Y17+Y18</f>
        <v>16</v>
      </c>
      <c r="Z20" s="38">
        <f t="shared" si="1"/>
        <v>10</v>
      </c>
      <c r="AA20" s="38">
        <f t="shared" si="1"/>
        <v>0</v>
      </c>
      <c r="AB20" s="38">
        <f t="shared" si="1"/>
        <v>6</v>
      </c>
      <c r="AC20" s="32">
        <f t="shared" si="1"/>
        <v>8</v>
      </c>
      <c r="AD20" s="32">
        <f t="shared" si="1"/>
        <v>5</v>
      </c>
      <c r="AE20" s="32">
        <f t="shared" si="1"/>
        <v>0</v>
      </c>
      <c r="AF20" s="32">
        <f t="shared" si="1"/>
        <v>3</v>
      </c>
      <c r="AG20" s="31">
        <f t="shared" si="1"/>
        <v>8</v>
      </c>
      <c r="AH20" s="31">
        <f t="shared" si="1"/>
        <v>5</v>
      </c>
      <c r="AI20" s="31">
        <f t="shared" si="1"/>
        <v>0</v>
      </c>
      <c r="AJ20" s="31">
        <f t="shared" si="1"/>
        <v>3</v>
      </c>
      <c r="AK20" s="38">
        <f t="shared" si="1"/>
        <v>0</v>
      </c>
      <c r="AL20" s="38">
        <f t="shared" si="1"/>
        <v>0</v>
      </c>
      <c r="AM20" s="38">
        <f t="shared" si="1"/>
        <v>0</v>
      </c>
      <c r="AN20" s="38">
        <f t="shared" si="1"/>
        <v>0</v>
      </c>
    </row>
    <row r="21" spans="1:40" ht="17" thickBot="1" x14ac:dyDescent="0.25">
      <c r="A21" s="33"/>
      <c r="B21" s="34"/>
      <c r="C21" s="35" t="s">
        <v>41</v>
      </c>
      <c r="D21" s="36"/>
      <c r="E21" s="37"/>
      <c r="F21" s="42">
        <f>F19</f>
        <v>21</v>
      </c>
      <c r="G21" s="42">
        <f>G19</f>
        <v>45</v>
      </c>
      <c r="H21" s="42" t="s">
        <v>483</v>
      </c>
      <c r="I21" s="42" t="s">
        <v>483</v>
      </c>
      <c r="J21" s="42">
        <f>J19</f>
        <v>3</v>
      </c>
      <c r="K21" s="42">
        <f t="shared" ref="K21:O21" si="2">K19</f>
        <v>0</v>
      </c>
      <c r="L21" s="42">
        <f t="shared" si="2"/>
        <v>0</v>
      </c>
      <c r="M21" s="42">
        <f t="shared" si="2"/>
        <v>2</v>
      </c>
      <c r="N21" s="42">
        <f t="shared" si="2"/>
        <v>2</v>
      </c>
      <c r="O21" s="42">
        <f t="shared" si="2"/>
        <v>0</v>
      </c>
      <c r="P21" s="42" t="s">
        <v>483</v>
      </c>
      <c r="Q21" s="42" t="s">
        <v>483</v>
      </c>
      <c r="R21" s="42">
        <f>R19</f>
        <v>6</v>
      </c>
      <c r="S21" s="39"/>
      <c r="T21" s="39"/>
      <c r="U21" s="39"/>
      <c r="V21" s="39"/>
      <c r="W21" s="40"/>
      <c r="X21" s="41" t="s">
        <v>41</v>
      </c>
      <c r="Y21" s="38">
        <f>Y19</f>
        <v>1</v>
      </c>
      <c r="Z21" s="38">
        <f t="shared" ref="Z21:AB21" si="3">Z19</f>
        <v>0</v>
      </c>
      <c r="AA21" s="38">
        <f t="shared" si="3"/>
        <v>0</v>
      </c>
      <c r="AB21" s="38">
        <f t="shared" si="3"/>
        <v>1</v>
      </c>
      <c r="AC21" s="43">
        <f>AC19</f>
        <v>1</v>
      </c>
      <c r="AD21" s="43">
        <f t="shared" ref="AD21:AF21" si="4">AD19</f>
        <v>0</v>
      </c>
      <c r="AE21" s="43">
        <f t="shared" si="4"/>
        <v>0</v>
      </c>
      <c r="AF21" s="43">
        <f t="shared" si="4"/>
        <v>1</v>
      </c>
      <c r="AG21" s="44">
        <f>AG19</f>
        <v>0</v>
      </c>
      <c r="AH21" s="44">
        <f t="shared" ref="AH21:AJ21" si="5">AH19</f>
        <v>0</v>
      </c>
      <c r="AI21" s="44">
        <f t="shared" si="5"/>
        <v>0</v>
      </c>
      <c r="AJ21" s="44">
        <f t="shared" si="5"/>
        <v>0</v>
      </c>
      <c r="AK21" s="42">
        <f>AK19</f>
        <v>0</v>
      </c>
      <c r="AL21" s="42">
        <f t="shared" ref="AL21:AN21" si="6">AL19</f>
        <v>0</v>
      </c>
      <c r="AM21" s="42">
        <f t="shared" si="6"/>
        <v>0</v>
      </c>
      <c r="AN21" s="42">
        <f t="shared" si="6"/>
        <v>0</v>
      </c>
    </row>
    <row r="22" spans="1:40" ht="17" thickBot="1" x14ac:dyDescent="0.25">
      <c r="A22" s="33"/>
      <c r="B22" s="34"/>
      <c r="C22" s="425" t="s">
        <v>42</v>
      </c>
      <c r="D22" s="431"/>
      <c r="E22" s="432"/>
      <c r="F22" s="42">
        <f>SUM(F20+F21)</f>
        <v>431</v>
      </c>
      <c r="G22" s="42">
        <f t="shared" ref="G22:R22" si="7">SUM(G20+G21)</f>
        <v>394</v>
      </c>
      <c r="H22" s="42">
        <f>H20</f>
        <v>8</v>
      </c>
      <c r="I22" s="42">
        <f>I20</f>
        <v>2</v>
      </c>
      <c r="J22" s="42">
        <f t="shared" si="7"/>
        <v>61</v>
      </c>
      <c r="K22" s="42">
        <f t="shared" si="7"/>
        <v>35</v>
      </c>
      <c r="L22" s="42">
        <f t="shared" si="7"/>
        <v>0</v>
      </c>
      <c r="M22" s="42">
        <f t="shared" si="7"/>
        <v>16</v>
      </c>
      <c r="N22" s="42">
        <f t="shared" si="7"/>
        <v>10</v>
      </c>
      <c r="O22" s="42">
        <f t="shared" si="7"/>
        <v>5</v>
      </c>
      <c r="P22" s="42">
        <f>P20</f>
        <v>5</v>
      </c>
      <c r="Q22" s="42">
        <f>Q20</f>
        <v>3</v>
      </c>
      <c r="R22" s="42">
        <f t="shared" si="7"/>
        <v>53</v>
      </c>
      <c r="S22" s="39"/>
      <c r="T22" s="39"/>
      <c r="U22" s="39"/>
      <c r="V22" s="39"/>
      <c r="W22" s="40"/>
      <c r="X22" s="41" t="s">
        <v>42</v>
      </c>
      <c r="Y22" s="38">
        <f t="shared" ref="Y22:AN22" si="8">SUM(Y20+Y21)</f>
        <v>17</v>
      </c>
      <c r="Z22" s="42">
        <f t="shared" si="8"/>
        <v>10</v>
      </c>
      <c r="AA22" s="42">
        <f t="shared" si="8"/>
        <v>0</v>
      </c>
      <c r="AB22" s="42">
        <f t="shared" si="8"/>
        <v>7</v>
      </c>
      <c r="AC22" s="43">
        <f t="shared" si="8"/>
        <v>9</v>
      </c>
      <c r="AD22" s="43">
        <f t="shared" si="8"/>
        <v>5</v>
      </c>
      <c r="AE22" s="43">
        <f t="shared" si="8"/>
        <v>0</v>
      </c>
      <c r="AF22" s="43">
        <f t="shared" si="8"/>
        <v>4</v>
      </c>
      <c r="AG22" s="44">
        <f t="shared" si="8"/>
        <v>8</v>
      </c>
      <c r="AH22" s="44">
        <f t="shared" si="8"/>
        <v>5</v>
      </c>
      <c r="AI22" s="44">
        <f t="shared" si="8"/>
        <v>0</v>
      </c>
      <c r="AJ22" s="44">
        <f t="shared" si="8"/>
        <v>3</v>
      </c>
      <c r="AK22" s="42">
        <f t="shared" si="8"/>
        <v>0</v>
      </c>
      <c r="AL22" s="42">
        <f t="shared" si="8"/>
        <v>0</v>
      </c>
      <c r="AM22" s="42">
        <f t="shared" si="8"/>
        <v>0</v>
      </c>
      <c r="AN22" s="42">
        <f t="shared" si="8"/>
        <v>0</v>
      </c>
    </row>
    <row r="24" spans="1:40" x14ac:dyDescent="0.2">
      <c r="A24" s="178" t="s">
        <v>429</v>
      </c>
    </row>
  </sheetData>
  <mergeCells count="13">
    <mergeCell ref="AP1:AQ1"/>
    <mergeCell ref="C22:E22"/>
    <mergeCell ref="A1:D1"/>
    <mergeCell ref="E1:G1"/>
    <mergeCell ref="H1:I1"/>
    <mergeCell ref="J1:M1"/>
    <mergeCell ref="Y1:AB1"/>
    <mergeCell ref="AC1:AF1"/>
    <mergeCell ref="AG1:AJ1"/>
    <mergeCell ref="AK1:AN1"/>
    <mergeCell ref="C20:E20"/>
    <mergeCell ref="N1:O1"/>
    <mergeCell ref="P1:R1"/>
  </mergeCells>
  <pageMargins left="0.7" right="0.7" top="0.75" bottom="0.75" header="0.3" footer="0.3"/>
  <ignoredErrors>
    <ignoredError sqref="T11 T14" twoDigitTextYear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35E33-5468-C146-8230-5BB3B4A4455B}">
  <dimension ref="A1:AQ24"/>
  <sheetViews>
    <sheetView zoomScale="80" zoomScaleNormal="80" workbookViewId="0">
      <selection sqref="A1:D1"/>
    </sheetView>
  </sheetViews>
  <sheetFormatPr baseColWidth="10" defaultColWidth="11.5" defaultRowHeight="16" x14ac:dyDescent="0.2"/>
  <cols>
    <col min="1" max="1" width="6.5" bestFit="1" customWidth="1"/>
    <col min="2" max="2" width="6" bestFit="1" customWidth="1"/>
    <col min="3" max="3" width="12" customWidth="1"/>
    <col min="4" max="4" width="4.83203125" customWidth="1"/>
    <col min="5" max="7" width="4.6640625" customWidth="1"/>
    <col min="8" max="18" width="4.83203125" customWidth="1"/>
    <col min="19" max="19" width="7" customWidth="1"/>
    <col min="20" max="20" width="6.83203125" customWidth="1"/>
    <col min="21" max="21" width="24" bestFit="1" customWidth="1"/>
    <col min="22" max="23" width="29" bestFit="1" customWidth="1"/>
    <col min="24" max="24" width="24" bestFit="1" customWidth="1"/>
    <col min="25" max="40" width="4.83203125" customWidth="1"/>
    <col min="42" max="42" width="14.5" bestFit="1" customWidth="1"/>
  </cols>
  <sheetData>
    <row r="1" spans="1:43" ht="17" thickBot="1" x14ac:dyDescent="0.25">
      <c r="A1" s="522" t="s">
        <v>76</v>
      </c>
      <c r="B1" s="523"/>
      <c r="C1" s="523"/>
      <c r="D1" s="524"/>
      <c r="E1" s="525" t="s">
        <v>0</v>
      </c>
      <c r="F1" s="526"/>
      <c r="G1" s="527"/>
      <c r="H1" s="525" t="s">
        <v>1</v>
      </c>
      <c r="I1" s="527"/>
      <c r="J1" s="528" t="s">
        <v>2</v>
      </c>
      <c r="K1" s="529"/>
      <c r="L1" s="529"/>
      <c r="M1" s="530"/>
      <c r="N1" s="528" t="s">
        <v>3</v>
      </c>
      <c r="O1" s="530"/>
      <c r="P1" s="528" t="s">
        <v>4</v>
      </c>
      <c r="Q1" s="529"/>
      <c r="R1" s="530"/>
      <c r="S1" s="113" t="s">
        <v>5</v>
      </c>
      <c r="T1" s="113" t="s">
        <v>6</v>
      </c>
      <c r="U1" s="114" t="s">
        <v>7</v>
      </c>
      <c r="V1" s="115" t="s">
        <v>8</v>
      </c>
      <c r="W1" s="115" t="s">
        <v>9</v>
      </c>
      <c r="X1" s="116" t="s">
        <v>10</v>
      </c>
      <c r="Y1" s="531" t="s">
        <v>11</v>
      </c>
      <c r="Z1" s="532"/>
      <c r="AA1" s="532"/>
      <c r="AB1" s="533"/>
      <c r="AC1" s="531" t="s">
        <v>12</v>
      </c>
      <c r="AD1" s="532"/>
      <c r="AE1" s="532"/>
      <c r="AF1" s="533"/>
      <c r="AG1" s="531" t="s">
        <v>13</v>
      </c>
      <c r="AH1" s="532"/>
      <c r="AI1" s="532"/>
      <c r="AJ1" s="533"/>
      <c r="AK1" s="531" t="s">
        <v>14</v>
      </c>
      <c r="AL1" s="532"/>
      <c r="AM1" s="532"/>
      <c r="AN1" s="533"/>
      <c r="AP1" s="521" t="s">
        <v>195</v>
      </c>
      <c r="AQ1" s="521"/>
    </row>
    <row r="2" spans="1:43" ht="17" thickBot="1" x14ac:dyDescent="0.25">
      <c r="A2" s="117" t="s">
        <v>15</v>
      </c>
      <c r="B2" s="118" t="s">
        <v>16</v>
      </c>
      <c r="C2" s="119" t="s">
        <v>17</v>
      </c>
      <c r="D2" s="119" t="s">
        <v>18</v>
      </c>
      <c r="E2" s="120" t="s">
        <v>19</v>
      </c>
      <c r="F2" s="120" t="s">
        <v>20</v>
      </c>
      <c r="G2" s="120" t="s">
        <v>21</v>
      </c>
      <c r="H2" s="121" t="s">
        <v>22</v>
      </c>
      <c r="I2" s="121" t="s">
        <v>23</v>
      </c>
      <c r="J2" s="121" t="s">
        <v>24</v>
      </c>
      <c r="K2" s="121" t="s">
        <v>25</v>
      </c>
      <c r="L2" s="121" t="s">
        <v>26</v>
      </c>
      <c r="M2" s="121" t="s">
        <v>27</v>
      </c>
      <c r="N2" s="121" t="s">
        <v>28</v>
      </c>
      <c r="O2" s="121" t="s">
        <v>19</v>
      </c>
      <c r="P2" s="121" t="s">
        <v>22</v>
      </c>
      <c r="Q2" s="121" t="s">
        <v>23</v>
      </c>
      <c r="R2" s="121" t="s">
        <v>24</v>
      </c>
      <c r="S2" s="122"/>
      <c r="T2" s="123"/>
      <c r="U2" s="124"/>
      <c r="V2" s="122"/>
      <c r="W2" s="125"/>
      <c r="X2" s="126"/>
      <c r="Y2" s="127" t="s">
        <v>29</v>
      </c>
      <c r="Z2" s="127" t="s">
        <v>30</v>
      </c>
      <c r="AA2" s="127" t="s">
        <v>26</v>
      </c>
      <c r="AB2" s="127" t="s">
        <v>31</v>
      </c>
      <c r="AC2" s="127" t="s">
        <v>29</v>
      </c>
      <c r="AD2" s="127" t="s">
        <v>30</v>
      </c>
      <c r="AE2" s="127" t="s">
        <v>26</v>
      </c>
      <c r="AF2" s="127" t="s">
        <v>31</v>
      </c>
      <c r="AG2" s="127" t="s">
        <v>29</v>
      </c>
      <c r="AH2" s="127" t="s">
        <v>30</v>
      </c>
      <c r="AI2" s="127" t="s">
        <v>26</v>
      </c>
      <c r="AJ2" s="127" t="s">
        <v>31</v>
      </c>
      <c r="AK2" s="127" t="s">
        <v>29</v>
      </c>
      <c r="AL2" s="127" t="s">
        <v>30</v>
      </c>
      <c r="AM2" s="127" t="s">
        <v>26</v>
      </c>
      <c r="AN2" s="128" t="s">
        <v>31</v>
      </c>
      <c r="AP2" s="333" t="s">
        <v>187</v>
      </c>
      <c r="AQ2" s="329">
        <f>Y22+55</f>
        <v>72</v>
      </c>
    </row>
    <row r="3" spans="1:43" ht="17" thickBot="1" x14ac:dyDescent="0.25">
      <c r="A3" s="1" t="s">
        <v>32</v>
      </c>
      <c r="B3" s="2" t="s">
        <v>44</v>
      </c>
      <c r="C3" s="3" t="s">
        <v>49</v>
      </c>
      <c r="D3" s="4" t="s">
        <v>21</v>
      </c>
      <c r="E3" s="4" t="s">
        <v>31</v>
      </c>
      <c r="F3" s="4">
        <v>6</v>
      </c>
      <c r="G3" s="5">
        <v>18</v>
      </c>
      <c r="H3" s="6">
        <v>0</v>
      </c>
      <c r="I3" s="7">
        <v>0</v>
      </c>
      <c r="J3" s="7">
        <v>0</v>
      </c>
      <c r="K3" s="7">
        <v>0</v>
      </c>
      <c r="L3" s="7">
        <v>0</v>
      </c>
      <c r="M3" s="7">
        <v>2</v>
      </c>
      <c r="N3" s="7">
        <v>1</v>
      </c>
      <c r="O3" s="7">
        <v>0</v>
      </c>
      <c r="P3" s="7">
        <v>0</v>
      </c>
      <c r="Q3" s="7">
        <v>0</v>
      </c>
      <c r="R3" s="7">
        <v>2</v>
      </c>
      <c r="S3" s="8"/>
      <c r="T3" s="19" t="s">
        <v>220</v>
      </c>
      <c r="U3" s="10" t="s">
        <v>197</v>
      </c>
      <c r="V3" s="11" t="s">
        <v>199</v>
      </c>
      <c r="W3" s="12" t="s">
        <v>198</v>
      </c>
      <c r="X3" s="11" t="s">
        <v>200</v>
      </c>
      <c r="Y3" s="11">
        <v>1</v>
      </c>
      <c r="Z3" s="11">
        <v>0</v>
      </c>
      <c r="AA3" s="11">
        <v>0</v>
      </c>
      <c r="AB3" s="13">
        <v>1</v>
      </c>
      <c r="AC3" s="11"/>
      <c r="AD3" s="11"/>
      <c r="AE3" s="11"/>
      <c r="AF3" s="13"/>
      <c r="AG3" s="11">
        <v>1</v>
      </c>
      <c r="AH3" s="11">
        <v>0</v>
      </c>
      <c r="AI3" s="11">
        <v>0</v>
      </c>
      <c r="AJ3" s="13">
        <v>1</v>
      </c>
      <c r="AK3" s="11"/>
      <c r="AL3" s="11"/>
      <c r="AM3" s="11"/>
      <c r="AN3" s="13"/>
      <c r="AP3" s="333" t="s">
        <v>188</v>
      </c>
      <c r="AQ3" s="329">
        <f>Z22+21</f>
        <v>28</v>
      </c>
    </row>
    <row r="4" spans="1:43" ht="17" thickBot="1" x14ac:dyDescent="0.25">
      <c r="A4" s="1" t="s">
        <v>48</v>
      </c>
      <c r="B4" s="2" t="s">
        <v>44</v>
      </c>
      <c r="C4" s="3" t="s">
        <v>46</v>
      </c>
      <c r="D4" s="4" t="s">
        <v>21</v>
      </c>
      <c r="E4" s="7" t="s">
        <v>30</v>
      </c>
      <c r="F4" s="4">
        <v>35</v>
      </c>
      <c r="G4" s="5">
        <v>34</v>
      </c>
      <c r="H4" s="6">
        <v>1</v>
      </c>
      <c r="I4" s="7">
        <v>0</v>
      </c>
      <c r="J4" s="7">
        <v>5</v>
      </c>
      <c r="K4" s="4">
        <v>5</v>
      </c>
      <c r="L4" s="7">
        <v>0</v>
      </c>
      <c r="M4" s="4">
        <v>0</v>
      </c>
      <c r="N4" s="7">
        <v>0</v>
      </c>
      <c r="O4" s="7">
        <v>0</v>
      </c>
      <c r="P4" s="7">
        <v>1</v>
      </c>
      <c r="Q4" s="4">
        <v>1</v>
      </c>
      <c r="R4" s="7">
        <v>5</v>
      </c>
      <c r="S4" s="8"/>
      <c r="T4" s="14" t="s">
        <v>243</v>
      </c>
      <c r="U4" s="10" t="s">
        <v>214</v>
      </c>
      <c r="V4" s="11" t="s">
        <v>242</v>
      </c>
      <c r="W4" s="11" t="s">
        <v>197</v>
      </c>
      <c r="X4" s="12" t="s">
        <v>241</v>
      </c>
      <c r="Y4" s="11">
        <v>1</v>
      </c>
      <c r="Z4" s="11">
        <v>1</v>
      </c>
      <c r="AA4" s="11">
        <v>0</v>
      </c>
      <c r="AB4" s="13">
        <v>0</v>
      </c>
      <c r="AC4" s="11"/>
      <c r="AD4" s="11"/>
      <c r="AE4" s="11"/>
      <c r="AF4" s="13"/>
      <c r="AG4" s="11">
        <v>1</v>
      </c>
      <c r="AH4" s="11">
        <v>1</v>
      </c>
      <c r="AI4" s="11">
        <v>0</v>
      </c>
      <c r="AJ4" s="13">
        <v>0</v>
      </c>
      <c r="AK4" s="11"/>
      <c r="AL4" s="11"/>
      <c r="AM4" s="11"/>
      <c r="AN4" s="13"/>
      <c r="AP4" s="333" t="s">
        <v>189</v>
      </c>
      <c r="AQ4" s="329">
        <f>AA22+2</f>
        <v>4</v>
      </c>
    </row>
    <row r="5" spans="1:43" ht="17" thickBot="1" x14ac:dyDescent="0.25">
      <c r="A5" s="66" t="s">
        <v>81</v>
      </c>
      <c r="B5" s="67" t="s">
        <v>44</v>
      </c>
      <c r="C5" s="68" t="s">
        <v>57</v>
      </c>
      <c r="D5" s="69" t="s">
        <v>47</v>
      </c>
      <c r="E5" s="69" t="s">
        <v>26</v>
      </c>
      <c r="F5" s="69">
        <v>22</v>
      </c>
      <c r="G5" s="70">
        <v>22</v>
      </c>
      <c r="H5" s="79">
        <v>0</v>
      </c>
      <c r="I5" s="70">
        <v>0</v>
      </c>
      <c r="J5" s="72">
        <v>3</v>
      </c>
      <c r="K5" s="72">
        <v>1</v>
      </c>
      <c r="L5" s="72">
        <v>0</v>
      </c>
      <c r="M5" s="72">
        <v>1</v>
      </c>
      <c r="N5" s="72">
        <v>0</v>
      </c>
      <c r="O5" s="72">
        <v>1</v>
      </c>
      <c r="P5" s="69">
        <v>0</v>
      </c>
      <c r="Q5" s="72">
        <v>0</v>
      </c>
      <c r="R5" s="69">
        <v>3</v>
      </c>
      <c r="S5" s="73"/>
      <c r="T5" s="84" t="s">
        <v>248</v>
      </c>
      <c r="U5" s="75" t="s">
        <v>205</v>
      </c>
      <c r="V5" s="76" t="s">
        <v>207</v>
      </c>
      <c r="W5" s="76" t="s">
        <v>202</v>
      </c>
      <c r="X5" s="77" t="s">
        <v>273</v>
      </c>
      <c r="Y5" s="76">
        <v>1</v>
      </c>
      <c r="Z5" s="76">
        <v>0</v>
      </c>
      <c r="AA5" s="76">
        <v>1</v>
      </c>
      <c r="AB5" s="78">
        <v>0</v>
      </c>
      <c r="AC5" s="76">
        <v>1</v>
      </c>
      <c r="AD5" s="76">
        <v>0</v>
      </c>
      <c r="AE5" s="76">
        <v>1</v>
      </c>
      <c r="AF5" s="78">
        <v>0</v>
      </c>
      <c r="AG5" s="76"/>
      <c r="AH5" s="76"/>
      <c r="AI5" s="76"/>
      <c r="AJ5" s="78"/>
      <c r="AK5" s="76"/>
      <c r="AL5" s="76"/>
      <c r="AM5" s="76"/>
      <c r="AN5" s="78"/>
      <c r="AP5" s="333" t="s">
        <v>190</v>
      </c>
      <c r="AQ5" s="329">
        <f>AB22+32</f>
        <v>40</v>
      </c>
    </row>
    <row r="6" spans="1:43" ht="17" thickBot="1" x14ac:dyDescent="0.25">
      <c r="A6" s="66" t="s">
        <v>33</v>
      </c>
      <c r="B6" s="67" t="s">
        <v>44</v>
      </c>
      <c r="C6" s="68" t="s">
        <v>66</v>
      </c>
      <c r="D6" s="69" t="s">
        <v>47</v>
      </c>
      <c r="E6" s="69" t="s">
        <v>31</v>
      </c>
      <c r="F6" s="69">
        <v>11</v>
      </c>
      <c r="G6" s="70">
        <v>27</v>
      </c>
      <c r="H6" s="70">
        <v>0</v>
      </c>
      <c r="I6" s="72">
        <v>0</v>
      </c>
      <c r="J6" s="69">
        <v>1</v>
      </c>
      <c r="K6" s="69">
        <v>0</v>
      </c>
      <c r="L6" s="72">
        <v>0</v>
      </c>
      <c r="M6" s="72">
        <v>2</v>
      </c>
      <c r="N6" s="72">
        <v>1</v>
      </c>
      <c r="O6" s="72">
        <v>0</v>
      </c>
      <c r="P6" s="72">
        <v>1</v>
      </c>
      <c r="Q6" s="69">
        <v>0</v>
      </c>
      <c r="R6" s="72">
        <v>4</v>
      </c>
      <c r="S6" s="73"/>
      <c r="T6" s="84" t="s">
        <v>300</v>
      </c>
      <c r="U6" s="76" t="s">
        <v>294</v>
      </c>
      <c r="V6" s="76" t="s">
        <v>211</v>
      </c>
      <c r="W6" s="76" t="s">
        <v>208</v>
      </c>
      <c r="X6" s="75" t="s">
        <v>295</v>
      </c>
      <c r="Y6" s="76">
        <v>1</v>
      </c>
      <c r="Z6" s="76">
        <v>0</v>
      </c>
      <c r="AA6" s="76">
        <v>0</v>
      </c>
      <c r="AB6" s="78">
        <v>1</v>
      </c>
      <c r="AC6" s="76">
        <v>1</v>
      </c>
      <c r="AD6" s="76">
        <v>0</v>
      </c>
      <c r="AE6" s="76">
        <v>0</v>
      </c>
      <c r="AF6" s="78">
        <v>1</v>
      </c>
      <c r="AG6" s="76"/>
      <c r="AH6" s="76"/>
      <c r="AI6" s="76"/>
      <c r="AJ6" s="78"/>
      <c r="AK6" s="76"/>
      <c r="AL6" s="76"/>
      <c r="AM6" s="76"/>
      <c r="AN6" s="78"/>
      <c r="AP6" s="333" t="s">
        <v>191</v>
      </c>
      <c r="AQ6" s="329">
        <f>F22+1406</f>
        <v>1829</v>
      </c>
    </row>
    <row r="7" spans="1:43" ht="17" thickBot="1" x14ac:dyDescent="0.25">
      <c r="A7" s="1" t="s">
        <v>34</v>
      </c>
      <c r="B7" s="2" t="s">
        <v>44</v>
      </c>
      <c r="C7" s="3" t="s">
        <v>83</v>
      </c>
      <c r="D7" s="4" t="s">
        <v>21</v>
      </c>
      <c r="E7" s="7" t="s">
        <v>30</v>
      </c>
      <c r="F7" s="4">
        <v>46</v>
      </c>
      <c r="G7" s="5">
        <v>32</v>
      </c>
      <c r="H7" s="6">
        <v>1</v>
      </c>
      <c r="I7" s="4">
        <v>0</v>
      </c>
      <c r="J7" s="7">
        <v>6</v>
      </c>
      <c r="K7" s="7">
        <v>5</v>
      </c>
      <c r="L7" s="7">
        <v>0</v>
      </c>
      <c r="M7" s="7">
        <v>2</v>
      </c>
      <c r="N7" s="7">
        <v>1</v>
      </c>
      <c r="O7" s="7">
        <v>0</v>
      </c>
      <c r="P7" s="7">
        <v>1</v>
      </c>
      <c r="Q7" s="7">
        <v>0</v>
      </c>
      <c r="R7" s="7">
        <v>4</v>
      </c>
      <c r="S7" s="8"/>
      <c r="T7" s="14" t="s">
        <v>318</v>
      </c>
      <c r="U7" s="10" t="s">
        <v>258</v>
      </c>
      <c r="V7" s="11" t="s">
        <v>242</v>
      </c>
      <c r="W7" s="11" t="s">
        <v>254</v>
      </c>
      <c r="X7" s="12" t="s">
        <v>284</v>
      </c>
      <c r="Y7" s="11">
        <v>1</v>
      </c>
      <c r="Z7" s="11">
        <v>1</v>
      </c>
      <c r="AA7" s="11">
        <v>0</v>
      </c>
      <c r="AB7" s="13">
        <v>0</v>
      </c>
      <c r="AC7" s="11"/>
      <c r="AD7" s="11"/>
      <c r="AE7" s="11"/>
      <c r="AF7" s="13"/>
      <c r="AG7" s="11">
        <v>1</v>
      </c>
      <c r="AH7" s="11">
        <v>1</v>
      </c>
      <c r="AI7" s="11">
        <v>0</v>
      </c>
      <c r="AJ7" s="13">
        <v>0</v>
      </c>
      <c r="AK7" s="11"/>
      <c r="AL7" s="11"/>
      <c r="AM7" s="11"/>
      <c r="AN7" s="13"/>
      <c r="AP7" s="333" t="s">
        <v>192</v>
      </c>
      <c r="AQ7" s="329">
        <f>G22+1711</f>
        <v>2160</v>
      </c>
    </row>
    <row r="8" spans="1:43" ht="17" thickBot="1" x14ac:dyDescent="0.25">
      <c r="A8" s="66" t="s">
        <v>54</v>
      </c>
      <c r="B8" s="67" t="s">
        <v>44</v>
      </c>
      <c r="C8" s="68" t="s">
        <v>63</v>
      </c>
      <c r="D8" s="69" t="s">
        <v>47</v>
      </c>
      <c r="E8" s="72" t="s">
        <v>26</v>
      </c>
      <c r="F8" s="69">
        <v>22</v>
      </c>
      <c r="G8" s="70">
        <v>22</v>
      </c>
      <c r="H8" s="71">
        <v>0</v>
      </c>
      <c r="I8" s="69">
        <v>0</v>
      </c>
      <c r="J8" s="72">
        <v>3</v>
      </c>
      <c r="K8" s="72">
        <v>2</v>
      </c>
      <c r="L8" s="72">
        <v>0</v>
      </c>
      <c r="M8" s="72">
        <v>1</v>
      </c>
      <c r="N8" s="72">
        <v>0</v>
      </c>
      <c r="O8" s="72">
        <v>0</v>
      </c>
      <c r="P8" s="69">
        <v>1</v>
      </c>
      <c r="Q8" s="72">
        <v>0</v>
      </c>
      <c r="R8" s="72">
        <v>4</v>
      </c>
      <c r="S8" s="73"/>
      <c r="T8" s="84" t="s">
        <v>248</v>
      </c>
      <c r="U8" s="75" t="s">
        <v>249</v>
      </c>
      <c r="V8" s="76" t="s">
        <v>207</v>
      </c>
      <c r="W8" s="76" t="s">
        <v>254</v>
      </c>
      <c r="X8" s="77" t="s">
        <v>273</v>
      </c>
      <c r="Y8" s="76">
        <v>1</v>
      </c>
      <c r="Z8" s="76">
        <v>0</v>
      </c>
      <c r="AA8" s="76">
        <v>1</v>
      </c>
      <c r="AB8" s="78">
        <v>0</v>
      </c>
      <c r="AC8" s="76">
        <v>1</v>
      </c>
      <c r="AD8" s="76">
        <v>0</v>
      </c>
      <c r="AE8" s="76">
        <v>1</v>
      </c>
      <c r="AF8" s="78">
        <v>0</v>
      </c>
      <c r="AG8" s="76"/>
      <c r="AH8" s="76"/>
      <c r="AI8" s="76"/>
      <c r="AJ8" s="78"/>
      <c r="AK8" s="76"/>
      <c r="AL8" s="76"/>
      <c r="AM8" s="76"/>
      <c r="AN8" s="78"/>
      <c r="AP8" s="333" t="s">
        <v>193</v>
      </c>
      <c r="AQ8" s="329">
        <f>J22+200</f>
        <v>254</v>
      </c>
    </row>
    <row r="9" spans="1:43" ht="17" thickBot="1" x14ac:dyDescent="0.25">
      <c r="A9" s="66" t="s">
        <v>35</v>
      </c>
      <c r="B9" s="67" t="s">
        <v>44</v>
      </c>
      <c r="C9" s="68" t="s">
        <v>61</v>
      </c>
      <c r="D9" s="69" t="s">
        <v>47</v>
      </c>
      <c r="E9" s="72" t="s">
        <v>31</v>
      </c>
      <c r="F9" s="69">
        <v>17</v>
      </c>
      <c r="G9" s="70">
        <v>38</v>
      </c>
      <c r="H9" s="71">
        <v>0</v>
      </c>
      <c r="I9" s="72">
        <v>0</v>
      </c>
      <c r="J9" s="72">
        <v>2</v>
      </c>
      <c r="K9" s="72">
        <v>1</v>
      </c>
      <c r="L9" s="72">
        <v>0</v>
      </c>
      <c r="M9" s="72">
        <v>1</v>
      </c>
      <c r="N9" s="72">
        <v>1</v>
      </c>
      <c r="O9" s="72">
        <v>0</v>
      </c>
      <c r="P9" s="72">
        <v>1</v>
      </c>
      <c r="Q9" s="72">
        <v>0</v>
      </c>
      <c r="R9" s="72">
        <v>5</v>
      </c>
      <c r="S9" s="73"/>
      <c r="T9" s="74" t="s">
        <v>352</v>
      </c>
      <c r="U9" s="75" t="s">
        <v>214</v>
      </c>
      <c r="V9" s="76" t="s">
        <v>337</v>
      </c>
      <c r="W9" s="76" t="s">
        <v>276</v>
      </c>
      <c r="X9" s="77" t="s">
        <v>295</v>
      </c>
      <c r="Y9" s="76">
        <v>1</v>
      </c>
      <c r="Z9" s="76">
        <v>0</v>
      </c>
      <c r="AA9" s="76">
        <v>0</v>
      </c>
      <c r="AB9" s="78">
        <v>1</v>
      </c>
      <c r="AC9" s="76">
        <v>1</v>
      </c>
      <c r="AD9" s="76">
        <v>0</v>
      </c>
      <c r="AE9" s="76">
        <v>0</v>
      </c>
      <c r="AF9" s="78">
        <v>1</v>
      </c>
      <c r="AG9" s="76"/>
      <c r="AH9" s="76"/>
      <c r="AI9" s="76"/>
      <c r="AJ9" s="78"/>
      <c r="AK9" s="76"/>
      <c r="AL9" s="76"/>
      <c r="AM9" s="76"/>
      <c r="AN9" s="78"/>
      <c r="AP9" s="333" t="s">
        <v>194</v>
      </c>
      <c r="AQ9" s="329">
        <f>R22+235</f>
        <v>295</v>
      </c>
    </row>
    <row r="10" spans="1:43" ht="17" thickBot="1" x14ac:dyDescent="0.25">
      <c r="A10" s="1" t="s">
        <v>58</v>
      </c>
      <c r="B10" s="2" t="s">
        <v>44</v>
      </c>
      <c r="C10" s="3" t="s">
        <v>55</v>
      </c>
      <c r="D10" s="4" t="s">
        <v>21</v>
      </c>
      <c r="E10" s="4" t="s">
        <v>31</v>
      </c>
      <c r="F10" s="4">
        <v>24</v>
      </c>
      <c r="G10" s="5">
        <v>31</v>
      </c>
      <c r="H10" s="6">
        <v>1</v>
      </c>
      <c r="I10" s="7">
        <v>1</v>
      </c>
      <c r="J10" s="7">
        <v>4</v>
      </c>
      <c r="K10" s="7">
        <v>1</v>
      </c>
      <c r="L10" s="7">
        <v>0</v>
      </c>
      <c r="M10" s="7">
        <v>0</v>
      </c>
      <c r="N10" s="4">
        <v>0</v>
      </c>
      <c r="O10" s="7">
        <v>0</v>
      </c>
      <c r="P10" s="7">
        <v>1</v>
      </c>
      <c r="Q10" s="4">
        <v>0</v>
      </c>
      <c r="R10" s="7">
        <v>4</v>
      </c>
      <c r="S10" s="8"/>
      <c r="T10" s="9" t="s">
        <v>358</v>
      </c>
      <c r="U10" s="10" t="s">
        <v>205</v>
      </c>
      <c r="V10" s="11" t="s">
        <v>211</v>
      </c>
      <c r="W10" s="11" t="s">
        <v>206</v>
      </c>
      <c r="X10" s="12" t="s">
        <v>251</v>
      </c>
      <c r="Y10" s="11">
        <v>1</v>
      </c>
      <c r="Z10" s="11">
        <v>0</v>
      </c>
      <c r="AA10" s="11">
        <v>0</v>
      </c>
      <c r="AB10" s="13">
        <v>1</v>
      </c>
      <c r="AC10" s="11"/>
      <c r="AD10" s="11"/>
      <c r="AE10" s="11"/>
      <c r="AF10" s="13"/>
      <c r="AG10" s="11">
        <v>1</v>
      </c>
      <c r="AH10" s="11">
        <v>0</v>
      </c>
      <c r="AI10" s="11">
        <v>0</v>
      </c>
      <c r="AJ10" s="13">
        <v>1</v>
      </c>
      <c r="AK10" s="11"/>
      <c r="AL10" s="11"/>
      <c r="AM10" s="11"/>
      <c r="AN10" s="13"/>
    </row>
    <row r="11" spans="1:43" ht="17" thickBot="1" x14ac:dyDescent="0.25">
      <c r="A11" s="66" t="s">
        <v>59</v>
      </c>
      <c r="B11" s="67" t="s">
        <v>44</v>
      </c>
      <c r="C11" s="68" t="s">
        <v>52</v>
      </c>
      <c r="D11" s="69" t="s">
        <v>47</v>
      </c>
      <c r="E11" s="69" t="s">
        <v>30</v>
      </c>
      <c r="F11" s="69">
        <v>13</v>
      </c>
      <c r="G11" s="70">
        <v>10</v>
      </c>
      <c r="H11" s="71">
        <v>0</v>
      </c>
      <c r="I11" s="72">
        <v>0</v>
      </c>
      <c r="J11" s="72">
        <v>2</v>
      </c>
      <c r="K11" s="72">
        <v>0</v>
      </c>
      <c r="L11" s="72">
        <v>0</v>
      </c>
      <c r="M11" s="72">
        <v>1</v>
      </c>
      <c r="N11" s="72">
        <v>0</v>
      </c>
      <c r="O11" s="72">
        <v>0</v>
      </c>
      <c r="P11" s="72">
        <v>0</v>
      </c>
      <c r="Q11" s="69">
        <v>1</v>
      </c>
      <c r="R11" s="72">
        <v>1</v>
      </c>
      <c r="S11" s="73"/>
      <c r="T11" s="172" t="s">
        <v>374</v>
      </c>
      <c r="U11" s="75" t="s">
        <v>212</v>
      </c>
      <c r="V11" s="76" t="s">
        <v>297</v>
      </c>
      <c r="W11" s="76" t="s">
        <v>197</v>
      </c>
      <c r="X11" s="77" t="s">
        <v>337</v>
      </c>
      <c r="Y11" s="76">
        <v>1</v>
      </c>
      <c r="Z11" s="76">
        <v>1</v>
      </c>
      <c r="AA11" s="76">
        <v>0</v>
      </c>
      <c r="AB11" s="78">
        <v>0</v>
      </c>
      <c r="AC11" s="76">
        <v>1</v>
      </c>
      <c r="AD11" s="76">
        <v>1</v>
      </c>
      <c r="AE11" s="76">
        <v>0</v>
      </c>
      <c r="AF11" s="78">
        <v>0</v>
      </c>
      <c r="AG11" s="76"/>
      <c r="AH11" s="76"/>
      <c r="AI11" s="76"/>
      <c r="AJ11" s="78"/>
      <c r="AK11" s="76"/>
      <c r="AL11" s="76"/>
      <c r="AM11" s="76"/>
      <c r="AN11" s="78"/>
    </row>
    <row r="12" spans="1:43" ht="17" thickBot="1" x14ac:dyDescent="0.25">
      <c r="A12" s="16" t="s">
        <v>36</v>
      </c>
      <c r="B12" s="2" t="s">
        <v>44</v>
      </c>
      <c r="C12" s="3" t="s">
        <v>57</v>
      </c>
      <c r="D12" s="4" t="s">
        <v>21</v>
      </c>
      <c r="E12" s="4" t="s">
        <v>30</v>
      </c>
      <c r="F12" s="4">
        <v>22</v>
      </c>
      <c r="G12" s="5">
        <v>21</v>
      </c>
      <c r="H12" s="6">
        <v>0</v>
      </c>
      <c r="I12" s="7">
        <v>0</v>
      </c>
      <c r="J12" s="7">
        <v>1</v>
      </c>
      <c r="K12" s="7">
        <v>1</v>
      </c>
      <c r="L12" s="7">
        <v>0</v>
      </c>
      <c r="M12" s="7">
        <v>5</v>
      </c>
      <c r="N12" s="4">
        <v>1</v>
      </c>
      <c r="O12" s="7">
        <v>0</v>
      </c>
      <c r="P12" s="7">
        <v>0</v>
      </c>
      <c r="Q12" s="7">
        <v>1</v>
      </c>
      <c r="R12" s="7">
        <v>3</v>
      </c>
      <c r="S12" s="17"/>
      <c r="T12" s="14" t="s">
        <v>398</v>
      </c>
      <c r="U12" s="10" t="s">
        <v>389</v>
      </c>
      <c r="V12" s="11" t="s">
        <v>204</v>
      </c>
      <c r="W12" s="11" t="s">
        <v>249</v>
      </c>
      <c r="X12" s="12" t="s">
        <v>198</v>
      </c>
      <c r="Y12" s="11">
        <v>1</v>
      </c>
      <c r="Z12" s="11">
        <v>1</v>
      </c>
      <c r="AA12" s="11">
        <v>0</v>
      </c>
      <c r="AB12" s="13">
        <v>0</v>
      </c>
      <c r="AC12" s="11"/>
      <c r="AD12" s="11"/>
      <c r="AE12" s="11"/>
      <c r="AF12" s="13"/>
      <c r="AG12" s="11">
        <v>1</v>
      </c>
      <c r="AH12" s="11">
        <v>1</v>
      </c>
      <c r="AI12" s="11">
        <v>0</v>
      </c>
      <c r="AJ12" s="13">
        <v>0</v>
      </c>
      <c r="AK12" s="11"/>
      <c r="AL12" s="11"/>
      <c r="AM12" s="11"/>
      <c r="AN12" s="13"/>
    </row>
    <row r="13" spans="1:43" ht="17" thickBot="1" x14ac:dyDescent="0.25">
      <c r="A13" s="16" t="s">
        <v>99</v>
      </c>
      <c r="B13" s="2" t="s">
        <v>44</v>
      </c>
      <c r="C13" s="3" t="s">
        <v>60</v>
      </c>
      <c r="D13" s="4" t="s">
        <v>21</v>
      </c>
      <c r="E13" s="4" t="s">
        <v>31</v>
      </c>
      <c r="F13" s="4">
        <v>24</v>
      </c>
      <c r="G13" s="5">
        <v>26</v>
      </c>
      <c r="H13" s="6">
        <v>0</v>
      </c>
      <c r="I13" s="7">
        <v>1</v>
      </c>
      <c r="J13" s="7">
        <v>2</v>
      </c>
      <c r="K13" s="7">
        <v>1</v>
      </c>
      <c r="L13" s="7">
        <v>0</v>
      </c>
      <c r="M13" s="7">
        <v>4</v>
      </c>
      <c r="N13" s="7">
        <v>2</v>
      </c>
      <c r="O13" s="7">
        <v>1</v>
      </c>
      <c r="P13" s="7">
        <v>0</v>
      </c>
      <c r="Q13" s="7">
        <v>0</v>
      </c>
      <c r="R13" s="7">
        <v>3</v>
      </c>
      <c r="S13" s="17"/>
      <c r="T13" s="9" t="s">
        <v>411</v>
      </c>
      <c r="U13" s="10" t="s">
        <v>410</v>
      </c>
      <c r="V13" s="11" t="s">
        <v>199</v>
      </c>
      <c r="W13" s="11" t="s">
        <v>212</v>
      </c>
      <c r="X13" s="12" t="s">
        <v>293</v>
      </c>
      <c r="Y13" s="11">
        <v>1</v>
      </c>
      <c r="Z13" s="11">
        <v>0</v>
      </c>
      <c r="AA13" s="11">
        <v>0</v>
      </c>
      <c r="AB13" s="13">
        <v>1</v>
      </c>
      <c r="AC13" s="11"/>
      <c r="AD13" s="11"/>
      <c r="AE13" s="11"/>
      <c r="AF13" s="13"/>
      <c r="AG13" s="11">
        <v>1</v>
      </c>
      <c r="AH13" s="11">
        <v>0</v>
      </c>
      <c r="AI13" s="11">
        <v>0</v>
      </c>
      <c r="AJ13" s="13">
        <v>1</v>
      </c>
      <c r="AK13" s="11"/>
      <c r="AL13" s="11"/>
      <c r="AM13" s="11"/>
      <c r="AN13" s="13"/>
    </row>
    <row r="14" spans="1:43" ht="17" thickBot="1" x14ac:dyDescent="0.25">
      <c r="A14" s="81" t="s">
        <v>64</v>
      </c>
      <c r="B14" s="67" t="s">
        <v>44</v>
      </c>
      <c r="C14" s="68" t="s">
        <v>83</v>
      </c>
      <c r="D14" s="69" t="s">
        <v>47</v>
      </c>
      <c r="E14" s="69" t="s">
        <v>30</v>
      </c>
      <c r="F14" s="69">
        <v>47</v>
      </c>
      <c r="G14" s="70">
        <v>29</v>
      </c>
      <c r="H14" s="71">
        <v>1</v>
      </c>
      <c r="I14" s="72">
        <v>0</v>
      </c>
      <c r="J14" s="72">
        <v>7</v>
      </c>
      <c r="K14" s="72">
        <v>6</v>
      </c>
      <c r="L14" s="72">
        <v>0</v>
      </c>
      <c r="M14" s="72">
        <v>0</v>
      </c>
      <c r="N14" s="72">
        <v>0</v>
      </c>
      <c r="O14" s="72">
        <v>0</v>
      </c>
      <c r="P14" s="72">
        <v>1</v>
      </c>
      <c r="Q14" s="72">
        <v>0</v>
      </c>
      <c r="R14" s="72">
        <v>5</v>
      </c>
      <c r="S14" s="82"/>
      <c r="T14" s="83" t="s">
        <v>420</v>
      </c>
      <c r="U14" s="75" t="s">
        <v>215</v>
      </c>
      <c r="V14" s="76" t="s">
        <v>204</v>
      </c>
      <c r="W14" s="76" t="s">
        <v>295</v>
      </c>
      <c r="X14" s="77" t="s">
        <v>421</v>
      </c>
      <c r="Y14" s="76">
        <v>1</v>
      </c>
      <c r="Z14" s="76">
        <v>1</v>
      </c>
      <c r="AA14" s="76">
        <v>0</v>
      </c>
      <c r="AB14" s="78">
        <v>0</v>
      </c>
      <c r="AC14" s="76">
        <v>1</v>
      </c>
      <c r="AD14" s="76">
        <v>1</v>
      </c>
      <c r="AE14" s="76">
        <v>0</v>
      </c>
      <c r="AF14" s="78">
        <v>0</v>
      </c>
      <c r="AG14" s="76"/>
      <c r="AH14" s="76"/>
      <c r="AI14" s="76"/>
      <c r="AJ14" s="78"/>
      <c r="AK14" s="76"/>
      <c r="AL14" s="76"/>
      <c r="AM14" s="76"/>
      <c r="AN14" s="78"/>
    </row>
    <row r="15" spans="1:43" ht="17" thickBot="1" x14ac:dyDescent="0.25">
      <c r="A15" s="81" t="s">
        <v>65</v>
      </c>
      <c r="B15" s="67" t="s">
        <v>44</v>
      </c>
      <c r="C15" s="68" t="s">
        <v>46</v>
      </c>
      <c r="D15" s="69" t="s">
        <v>47</v>
      </c>
      <c r="E15" s="69" t="s">
        <v>31</v>
      </c>
      <c r="F15" s="69">
        <v>30</v>
      </c>
      <c r="G15" s="70">
        <v>31</v>
      </c>
      <c r="H15" s="71">
        <v>0</v>
      </c>
      <c r="I15" s="72">
        <v>1</v>
      </c>
      <c r="J15" s="72">
        <v>3</v>
      </c>
      <c r="K15" s="72">
        <v>3</v>
      </c>
      <c r="L15" s="72">
        <v>1</v>
      </c>
      <c r="M15" s="72">
        <v>2</v>
      </c>
      <c r="N15" s="72">
        <v>0</v>
      </c>
      <c r="O15" s="72">
        <v>0</v>
      </c>
      <c r="P15" s="72">
        <v>1</v>
      </c>
      <c r="Q15" s="72">
        <v>0</v>
      </c>
      <c r="R15" s="72">
        <v>4</v>
      </c>
      <c r="S15" s="82"/>
      <c r="T15" s="84" t="s">
        <v>355</v>
      </c>
      <c r="U15" s="75" t="s">
        <v>201</v>
      </c>
      <c r="V15" s="76" t="s">
        <v>199</v>
      </c>
      <c r="W15" s="76" t="s">
        <v>245</v>
      </c>
      <c r="X15" s="77" t="s">
        <v>273</v>
      </c>
      <c r="Y15" s="76">
        <v>1</v>
      </c>
      <c r="Z15" s="76">
        <v>0</v>
      </c>
      <c r="AA15" s="76">
        <v>0</v>
      </c>
      <c r="AB15" s="78">
        <v>1</v>
      </c>
      <c r="AC15" s="76">
        <v>1</v>
      </c>
      <c r="AD15" s="76">
        <v>0</v>
      </c>
      <c r="AE15" s="76">
        <v>0</v>
      </c>
      <c r="AF15" s="78">
        <v>1</v>
      </c>
      <c r="AG15" s="76"/>
      <c r="AH15" s="76"/>
      <c r="AI15" s="76"/>
      <c r="AJ15" s="78"/>
      <c r="AK15" s="76"/>
      <c r="AL15" s="76"/>
      <c r="AM15" s="76"/>
      <c r="AN15" s="78"/>
    </row>
    <row r="16" spans="1:43" ht="17" thickBot="1" x14ac:dyDescent="0.25">
      <c r="A16" s="16" t="s">
        <v>37</v>
      </c>
      <c r="B16" s="2" t="s">
        <v>44</v>
      </c>
      <c r="C16" s="3" t="s">
        <v>51</v>
      </c>
      <c r="D16" s="4" t="s">
        <v>21</v>
      </c>
      <c r="E16" s="4" t="s">
        <v>30</v>
      </c>
      <c r="F16" s="4">
        <v>36</v>
      </c>
      <c r="G16" s="5">
        <v>34</v>
      </c>
      <c r="H16" s="6">
        <v>1</v>
      </c>
      <c r="I16" s="7">
        <v>0</v>
      </c>
      <c r="J16" s="7">
        <v>5</v>
      </c>
      <c r="K16" s="7">
        <v>4</v>
      </c>
      <c r="L16" s="7">
        <v>0</v>
      </c>
      <c r="M16" s="7">
        <v>1</v>
      </c>
      <c r="N16" s="7">
        <v>2</v>
      </c>
      <c r="O16" s="7">
        <v>0</v>
      </c>
      <c r="P16" s="7">
        <v>1</v>
      </c>
      <c r="Q16" s="7">
        <v>1</v>
      </c>
      <c r="R16" s="7">
        <v>4</v>
      </c>
      <c r="S16" s="17"/>
      <c r="T16" s="384" t="s">
        <v>443</v>
      </c>
      <c r="U16" s="10" t="s">
        <v>197</v>
      </c>
      <c r="V16" s="11" t="s">
        <v>199</v>
      </c>
      <c r="W16" s="11" t="s">
        <v>254</v>
      </c>
      <c r="X16" s="11" t="s">
        <v>407</v>
      </c>
      <c r="Y16" s="11">
        <v>1</v>
      </c>
      <c r="Z16" s="11">
        <v>1</v>
      </c>
      <c r="AA16" s="11">
        <v>0</v>
      </c>
      <c r="AB16" s="13">
        <v>0</v>
      </c>
      <c r="AC16" s="11"/>
      <c r="AD16" s="11"/>
      <c r="AE16" s="11"/>
      <c r="AF16" s="13"/>
      <c r="AG16" s="11">
        <v>1</v>
      </c>
      <c r="AH16" s="11">
        <v>1</v>
      </c>
      <c r="AI16" s="11">
        <v>0</v>
      </c>
      <c r="AJ16" s="13">
        <v>0</v>
      </c>
      <c r="AK16" s="11"/>
      <c r="AL16" s="11"/>
      <c r="AM16" s="11"/>
      <c r="AN16" s="13"/>
    </row>
    <row r="17" spans="1:40" ht="17" thickBot="1" x14ac:dyDescent="0.25">
      <c r="A17" s="16" t="s">
        <v>68</v>
      </c>
      <c r="B17" s="2" t="s">
        <v>44</v>
      </c>
      <c r="C17" s="3" t="s">
        <v>52</v>
      </c>
      <c r="D17" s="4" t="s">
        <v>21</v>
      </c>
      <c r="E17" s="4" t="s">
        <v>31</v>
      </c>
      <c r="F17" s="4">
        <v>12</v>
      </c>
      <c r="G17" s="5">
        <v>17</v>
      </c>
      <c r="H17" s="6">
        <v>0</v>
      </c>
      <c r="I17" s="7">
        <v>1</v>
      </c>
      <c r="J17" s="7">
        <v>2</v>
      </c>
      <c r="K17" s="7">
        <v>1</v>
      </c>
      <c r="L17" s="7">
        <v>0</v>
      </c>
      <c r="M17" s="7">
        <v>0</v>
      </c>
      <c r="N17" s="4">
        <v>1</v>
      </c>
      <c r="O17" s="7">
        <v>0</v>
      </c>
      <c r="P17" s="7">
        <v>0</v>
      </c>
      <c r="Q17" s="7">
        <v>0</v>
      </c>
      <c r="R17" s="7">
        <v>2</v>
      </c>
      <c r="S17" s="8"/>
      <c r="T17" s="9" t="s">
        <v>365</v>
      </c>
      <c r="U17" s="11" t="s">
        <v>430</v>
      </c>
      <c r="V17" s="11" t="s">
        <v>297</v>
      </c>
      <c r="W17" s="11" t="s">
        <v>273</v>
      </c>
      <c r="X17" s="11" t="s">
        <v>210</v>
      </c>
      <c r="Y17" s="11">
        <v>1</v>
      </c>
      <c r="Z17" s="11">
        <v>0</v>
      </c>
      <c r="AA17" s="11">
        <v>0</v>
      </c>
      <c r="AB17" s="13">
        <v>1</v>
      </c>
      <c r="AC17" s="11"/>
      <c r="AD17" s="11"/>
      <c r="AE17" s="11"/>
      <c r="AF17" s="13"/>
      <c r="AG17" s="11">
        <v>1</v>
      </c>
      <c r="AH17" s="11">
        <v>0</v>
      </c>
      <c r="AI17" s="11">
        <v>0</v>
      </c>
      <c r="AJ17" s="13">
        <v>1</v>
      </c>
      <c r="AK17" s="11"/>
      <c r="AL17" s="11"/>
      <c r="AM17" s="11"/>
      <c r="AN17" s="13"/>
    </row>
    <row r="18" spans="1:40" ht="17" thickBot="1" x14ac:dyDescent="0.25">
      <c r="A18" s="81" t="s">
        <v>89</v>
      </c>
      <c r="B18" s="67" t="s">
        <v>44</v>
      </c>
      <c r="C18" s="161" t="s">
        <v>49</v>
      </c>
      <c r="D18" s="162" t="s">
        <v>47</v>
      </c>
      <c r="E18" s="162" t="s">
        <v>30</v>
      </c>
      <c r="F18" s="163">
        <v>27</v>
      </c>
      <c r="G18" s="164">
        <v>24</v>
      </c>
      <c r="H18" s="165">
        <v>1</v>
      </c>
      <c r="I18" s="166">
        <v>0</v>
      </c>
      <c r="J18" s="166">
        <v>4</v>
      </c>
      <c r="K18" s="166">
        <v>2</v>
      </c>
      <c r="L18" s="166">
        <v>1</v>
      </c>
      <c r="M18" s="166">
        <v>0</v>
      </c>
      <c r="N18" s="166">
        <v>1</v>
      </c>
      <c r="O18" s="166">
        <v>0</v>
      </c>
      <c r="P18" s="166">
        <v>1</v>
      </c>
      <c r="Q18" s="166">
        <v>1</v>
      </c>
      <c r="R18" s="166">
        <v>4</v>
      </c>
      <c r="S18" s="167"/>
      <c r="T18" s="80" t="s">
        <v>355</v>
      </c>
      <c r="U18" s="169" t="s">
        <v>205</v>
      </c>
      <c r="V18" s="169" t="s">
        <v>297</v>
      </c>
      <c r="W18" s="169" t="s">
        <v>273</v>
      </c>
      <c r="X18" s="170" t="s">
        <v>295</v>
      </c>
      <c r="Y18" s="169">
        <v>1</v>
      </c>
      <c r="Z18" s="169">
        <v>1</v>
      </c>
      <c r="AA18" s="169">
        <v>0</v>
      </c>
      <c r="AB18" s="171">
        <v>0</v>
      </c>
      <c r="AC18" s="169">
        <v>1</v>
      </c>
      <c r="AD18" s="169">
        <v>1</v>
      </c>
      <c r="AE18" s="169">
        <v>0</v>
      </c>
      <c r="AF18" s="171">
        <v>0</v>
      </c>
      <c r="AG18" s="169"/>
      <c r="AH18" s="169"/>
      <c r="AI18" s="169"/>
      <c r="AJ18" s="171"/>
      <c r="AK18" s="169"/>
      <c r="AL18" s="169"/>
      <c r="AM18" s="169"/>
      <c r="AN18" s="171"/>
    </row>
    <row r="19" spans="1:40" ht="17" thickBot="1" x14ac:dyDescent="0.25">
      <c r="A19" s="402" t="s">
        <v>478</v>
      </c>
      <c r="B19" s="402" t="s">
        <v>479</v>
      </c>
      <c r="C19" s="403" t="s">
        <v>46</v>
      </c>
      <c r="D19" s="31" t="s">
        <v>21</v>
      </c>
      <c r="E19" s="4" t="s">
        <v>31</v>
      </c>
      <c r="F19" s="4">
        <v>29</v>
      </c>
      <c r="G19" s="5">
        <v>33</v>
      </c>
      <c r="H19" s="6" t="s">
        <v>483</v>
      </c>
      <c r="I19" s="7" t="s">
        <v>483</v>
      </c>
      <c r="J19" s="7">
        <v>4</v>
      </c>
      <c r="K19" s="7">
        <v>2</v>
      </c>
      <c r="L19" s="7">
        <v>0</v>
      </c>
      <c r="M19" s="7">
        <v>1</v>
      </c>
      <c r="N19" s="7">
        <v>0</v>
      </c>
      <c r="O19" s="7">
        <v>0</v>
      </c>
      <c r="P19" s="7" t="s">
        <v>483</v>
      </c>
      <c r="Q19" s="7" t="s">
        <v>483</v>
      </c>
      <c r="R19" s="7">
        <v>3</v>
      </c>
      <c r="S19" s="17"/>
      <c r="T19" s="404" t="s">
        <v>485</v>
      </c>
      <c r="U19" s="11" t="s">
        <v>258</v>
      </c>
      <c r="V19" s="11" t="s">
        <v>337</v>
      </c>
      <c r="W19" s="11" t="s">
        <v>241</v>
      </c>
      <c r="X19" s="405" t="s">
        <v>209</v>
      </c>
      <c r="Y19" s="11">
        <v>1</v>
      </c>
      <c r="Z19" s="11">
        <v>0</v>
      </c>
      <c r="AA19" s="11">
        <v>0</v>
      </c>
      <c r="AB19" s="13">
        <v>1</v>
      </c>
      <c r="AC19" s="11"/>
      <c r="AD19" s="11"/>
      <c r="AE19" s="11"/>
      <c r="AF19" s="13"/>
      <c r="AG19" s="11">
        <v>1</v>
      </c>
      <c r="AH19" s="11">
        <v>0</v>
      </c>
      <c r="AI19" s="11">
        <v>0</v>
      </c>
      <c r="AJ19" s="13">
        <v>1</v>
      </c>
      <c r="AK19" s="11"/>
      <c r="AL19" s="11"/>
      <c r="AM19" s="11"/>
      <c r="AN19" s="13"/>
    </row>
    <row r="20" spans="1:40" ht="17" thickBot="1" x14ac:dyDescent="0.25">
      <c r="A20" s="33"/>
      <c r="B20" s="34"/>
      <c r="C20" s="425" t="s">
        <v>40</v>
      </c>
      <c r="D20" s="426"/>
      <c r="E20" s="427"/>
      <c r="F20" s="38">
        <f t="shared" ref="F20:R20" si="0">SUM(F3+F4+F5+F6+F7+F8+F9+F10+F11+F12+F13+F14+F15+F16+F17+F18)</f>
        <v>394</v>
      </c>
      <c r="G20" s="38">
        <f t="shared" si="0"/>
        <v>416</v>
      </c>
      <c r="H20" s="38">
        <f t="shared" si="0"/>
        <v>6</v>
      </c>
      <c r="I20" s="38">
        <f t="shared" si="0"/>
        <v>4</v>
      </c>
      <c r="J20" s="38">
        <f t="shared" si="0"/>
        <v>50</v>
      </c>
      <c r="K20" s="38">
        <f t="shared" si="0"/>
        <v>33</v>
      </c>
      <c r="L20" s="38">
        <f t="shared" si="0"/>
        <v>2</v>
      </c>
      <c r="M20" s="38">
        <f t="shared" si="0"/>
        <v>22</v>
      </c>
      <c r="N20" s="38">
        <f t="shared" si="0"/>
        <v>11</v>
      </c>
      <c r="O20" s="38">
        <f t="shared" si="0"/>
        <v>2</v>
      </c>
      <c r="P20" s="38">
        <f t="shared" si="0"/>
        <v>10</v>
      </c>
      <c r="Q20" s="38">
        <f t="shared" si="0"/>
        <v>5</v>
      </c>
      <c r="R20" s="38">
        <f t="shared" si="0"/>
        <v>57</v>
      </c>
      <c r="S20" s="39"/>
      <c r="T20" s="39"/>
      <c r="U20" s="39"/>
      <c r="V20" s="39"/>
      <c r="W20" s="40"/>
      <c r="X20" s="41" t="s">
        <v>40</v>
      </c>
      <c r="Y20" s="38">
        <f t="shared" ref="Y20:AN20" si="1">Y3+Y4+Y5+Y6+Y7+Y8+Y9+Y10+Y11+Y12+Y13+Y14+Y15+Y16+Y17+Y18</f>
        <v>16</v>
      </c>
      <c r="Z20" s="38">
        <f t="shared" si="1"/>
        <v>7</v>
      </c>
      <c r="AA20" s="38">
        <f t="shared" si="1"/>
        <v>2</v>
      </c>
      <c r="AB20" s="38">
        <f t="shared" si="1"/>
        <v>7</v>
      </c>
      <c r="AC20" s="32">
        <f t="shared" si="1"/>
        <v>8</v>
      </c>
      <c r="AD20" s="32">
        <f t="shared" si="1"/>
        <v>3</v>
      </c>
      <c r="AE20" s="32">
        <f t="shared" si="1"/>
        <v>2</v>
      </c>
      <c r="AF20" s="32">
        <f t="shared" si="1"/>
        <v>3</v>
      </c>
      <c r="AG20" s="31">
        <f t="shared" si="1"/>
        <v>8</v>
      </c>
      <c r="AH20" s="31">
        <f t="shared" si="1"/>
        <v>4</v>
      </c>
      <c r="AI20" s="31">
        <f t="shared" si="1"/>
        <v>0</v>
      </c>
      <c r="AJ20" s="31">
        <f t="shared" si="1"/>
        <v>4</v>
      </c>
      <c r="AK20" s="38">
        <f t="shared" si="1"/>
        <v>0</v>
      </c>
      <c r="AL20" s="38">
        <f t="shared" si="1"/>
        <v>0</v>
      </c>
      <c r="AM20" s="38">
        <f t="shared" si="1"/>
        <v>0</v>
      </c>
      <c r="AN20" s="38">
        <f t="shared" si="1"/>
        <v>0</v>
      </c>
    </row>
    <row r="21" spans="1:40" ht="17" thickBot="1" x14ac:dyDescent="0.25">
      <c r="A21" s="33"/>
      <c r="B21" s="34"/>
      <c r="C21" s="35" t="s">
        <v>41</v>
      </c>
      <c r="D21" s="36"/>
      <c r="E21" s="37"/>
      <c r="F21" s="42">
        <f>F19</f>
        <v>29</v>
      </c>
      <c r="G21" s="407">
        <f>G19</f>
        <v>33</v>
      </c>
      <c r="H21" s="42" t="s">
        <v>483</v>
      </c>
      <c r="I21" s="42" t="s">
        <v>483</v>
      </c>
      <c r="J21" s="42">
        <f>J19</f>
        <v>4</v>
      </c>
      <c r="K21" s="42">
        <f t="shared" ref="K21:O21" si="2">K19</f>
        <v>2</v>
      </c>
      <c r="L21" s="42">
        <f t="shared" si="2"/>
        <v>0</v>
      </c>
      <c r="M21" s="42">
        <f t="shared" si="2"/>
        <v>1</v>
      </c>
      <c r="N21" s="42">
        <f t="shared" si="2"/>
        <v>0</v>
      </c>
      <c r="O21" s="42">
        <f t="shared" si="2"/>
        <v>0</v>
      </c>
      <c r="P21" s="42" t="s">
        <v>483</v>
      </c>
      <c r="Q21" s="42" t="s">
        <v>483</v>
      </c>
      <c r="R21" s="42">
        <f>R19</f>
        <v>3</v>
      </c>
      <c r="S21" s="39"/>
      <c r="T21" s="39"/>
      <c r="U21" s="39"/>
      <c r="V21" s="39"/>
      <c r="W21" s="40"/>
      <c r="X21" s="41" t="s">
        <v>41</v>
      </c>
      <c r="Y21" s="38">
        <f t="shared" ref="Y21:AD21" si="3">Y19</f>
        <v>1</v>
      </c>
      <c r="Z21" s="42">
        <f t="shared" si="3"/>
        <v>0</v>
      </c>
      <c r="AA21" s="42">
        <f t="shared" si="3"/>
        <v>0</v>
      </c>
      <c r="AB21" s="42">
        <f t="shared" si="3"/>
        <v>1</v>
      </c>
      <c r="AC21" s="43">
        <f t="shared" si="3"/>
        <v>0</v>
      </c>
      <c r="AD21" s="43">
        <f t="shared" si="3"/>
        <v>0</v>
      </c>
      <c r="AE21" s="43">
        <f t="shared" ref="AE21:AF21" si="4">AE19</f>
        <v>0</v>
      </c>
      <c r="AF21" s="43">
        <f t="shared" si="4"/>
        <v>0</v>
      </c>
      <c r="AG21" s="44">
        <f>AG19</f>
        <v>1</v>
      </c>
      <c r="AH21" s="44">
        <f t="shared" ref="AH21:AJ21" si="5">AH19</f>
        <v>0</v>
      </c>
      <c r="AI21" s="44">
        <f t="shared" si="5"/>
        <v>0</v>
      </c>
      <c r="AJ21" s="44">
        <f t="shared" si="5"/>
        <v>1</v>
      </c>
      <c r="AK21" s="42">
        <f>AK19</f>
        <v>0</v>
      </c>
      <c r="AL21" s="42">
        <f t="shared" ref="AL21:AN21" si="6">AL19</f>
        <v>0</v>
      </c>
      <c r="AM21" s="42">
        <f t="shared" si="6"/>
        <v>0</v>
      </c>
      <c r="AN21" s="42">
        <f t="shared" si="6"/>
        <v>0</v>
      </c>
    </row>
    <row r="22" spans="1:40" ht="17" thickBot="1" x14ac:dyDescent="0.25">
      <c r="A22" s="33"/>
      <c r="B22" s="34"/>
      <c r="C22" s="425" t="s">
        <v>42</v>
      </c>
      <c r="D22" s="431"/>
      <c r="E22" s="432"/>
      <c r="F22" s="42">
        <f>SUM(F20+F21)</f>
        <v>423</v>
      </c>
      <c r="G22" s="42">
        <f t="shared" ref="G22:R22" si="7">SUM(G20+G21)</f>
        <v>449</v>
      </c>
      <c r="H22" s="42">
        <f>H20</f>
        <v>6</v>
      </c>
      <c r="I22" s="42">
        <f>I20</f>
        <v>4</v>
      </c>
      <c r="J22" s="42">
        <f t="shared" si="7"/>
        <v>54</v>
      </c>
      <c r="K22" s="42">
        <f t="shared" si="7"/>
        <v>35</v>
      </c>
      <c r="L22" s="42">
        <f t="shared" si="7"/>
        <v>2</v>
      </c>
      <c r="M22" s="42">
        <f t="shared" si="7"/>
        <v>23</v>
      </c>
      <c r="N22" s="42">
        <f t="shared" si="7"/>
        <v>11</v>
      </c>
      <c r="O22" s="42">
        <f t="shared" si="7"/>
        <v>2</v>
      </c>
      <c r="P22" s="42">
        <f>P20</f>
        <v>10</v>
      </c>
      <c r="Q22" s="42">
        <f>Q20</f>
        <v>5</v>
      </c>
      <c r="R22" s="42">
        <f t="shared" si="7"/>
        <v>60</v>
      </c>
      <c r="S22" s="39"/>
      <c r="T22" s="39"/>
      <c r="U22" s="39"/>
      <c r="V22" s="39"/>
      <c r="W22" s="40"/>
      <c r="X22" s="41" t="s">
        <v>42</v>
      </c>
      <c r="Y22" s="38">
        <f t="shared" ref="Y22:AN22" si="8">SUM(Y20+Y21)</f>
        <v>17</v>
      </c>
      <c r="Z22" s="42">
        <f t="shared" si="8"/>
        <v>7</v>
      </c>
      <c r="AA22" s="42">
        <f t="shared" si="8"/>
        <v>2</v>
      </c>
      <c r="AB22" s="42">
        <f t="shared" si="8"/>
        <v>8</v>
      </c>
      <c r="AC22" s="43">
        <f t="shared" si="8"/>
        <v>8</v>
      </c>
      <c r="AD22" s="43">
        <f t="shared" si="8"/>
        <v>3</v>
      </c>
      <c r="AE22" s="43">
        <f t="shared" si="8"/>
        <v>2</v>
      </c>
      <c r="AF22" s="43">
        <f t="shared" si="8"/>
        <v>3</v>
      </c>
      <c r="AG22" s="44">
        <f t="shared" si="8"/>
        <v>9</v>
      </c>
      <c r="AH22" s="44">
        <f t="shared" si="8"/>
        <v>4</v>
      </c>
      <c r="AI22" s="44">
        <f t="shared" si="8"/>
        <v>0</v>
      </c>
      <c r="AJ22" s="44">
        <f t="shared" si="8"/>
        <v>5</v>
      </c>
      <c r="AK22" s="42">
        <f t="shared" si="8"/>
        <v>0</v>
      </c>
      <c r="AL22" s="42">
        <f t="shared" si="8"/>
        <v>0</v>
      </c>
      <c r="AM22" s="42">
        <f t="shared" si="8"/>
        <v>0</v>
      </c>
      <c r="AN22" s="42">
        <f t="shared" si="8"/>
        <v>0</v>
      </c>
    </row>
    <row r="24" spans="1:40" x14ac:dyDescent="0.2">
      <c r="A24" s="178" t="s">
        <v>429</v>
      </c>
    </row>
  </sheetData>
  <mergeCells count="13">
    <mergeCell ref="AP1:AQ1"/>
    <mergeCell ref="C22:E22"/>
    <mergeCell ref="A1:D1"/>
    <mergeCell ref="E1:G1"/>
    <mergeCell ref="H1:I1"/>
    <mergeCell ref="J1:M1"/>
    <mergeCell ref="Y1:AB1"/>
    <mergeCell ref="AC1:AF1"/>
    <mergeCell ref="AG1:AJ1"/>
    <mergeCell ref="AK1:AN1"/>
    <mergeCell ref="C20:E20"/>
    <mergeCell ref="N1:O1"/>
    <mergeCell ref="P1:R1"/>
  </mergeCells>
  <pageMargins left="0.7" right="0.7" top="0.75" bottom="0.75" header="0.3" footer="0.3"/>
  <ignoredErrors>
    <ignoredError sqref="T9" twoDigitTextYear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E4FDF-C38E-3D42-8ED3-40009BA051CE}">
  <dimension ref="A1:AQ22"/>
  <sheetViews>
    <sheetView zoomScale="80" zoomScaleNormal="80" workbookViewId="0">
      <selection sqref="A1:D1"/>
    </sheetView>
  </sheetViews>
  <sheetFormatPr baseColWidth="10" defaultColWidth="11.5" defaultRowHeight="16" x14ac:dyDescent="0.2"/>
  <cols>
    <col min="1" max="1" width="6.5" bestFit="1" customWidth="1"/>
    <col min="2" max="2" width="6" bestFit="1" customWidth="1"/>
    <col min="3" max="3" width="12" customWidth="1"/>
    <col min="4" max="4" width="4.83203125" customWidth="1"/>
    <col min="5" max="7" width="4.6640625" customWidth="1"/>
    <col min="8" max="18" width="4.83203125" customWidth="1"/>
    <col min="19" max="19" width="7" customWidth="1"/>
    <col min="20" max="20" width="6.83203125" customWidth="1"/>
    <col min="21" max="21" width="24" bestFit="1" customWidth="1"/>
    <col min="22" max="23" width="29" bestFit="1" customWidth="1"/>
    <col min="24" max="24" width="24" bestFit="1" customWidth="1"/>
    <col min="25" max="40" width="4.83203125" customWidth="1"/>
    <col min="42" max="42" width="14.5" bestFit="1" customWidth="1"/>
  </cols>
  <sheetData>
    <row r="1" spans="1:43" ht="17" thickBot="1" x14ac:dyDescent="0.25">
      <c r="A1" s="535" t="s">
        <v>77</v>
      </c>
      <c r="B1" s="536"/>
      <c r="C1" s="536"/>
      <c r="D1" s="537"/>
      <c r="E1" s="538" t="s">
        <v>0</v>
      </c>
      <c r="F1" s="539"/>
      <c r="G1" s="540"/>
      <c r="H1" s="538" t="s">
        <v>1</v>
      </c>
      <c r="I1" s="540"/>
      <c r="J1" s="541" t="s">
        <v>2</v>
      </c>
      <c r="K1" s="542"/>
      <c r="L1" s="542"/>
      <c r="M1" s="543"/>
      <c r="N1" s="541" t="s">
        <v>3</v>
      </c>
      <c r="O1" s="543"/>
      <c r="P1" s="541" t="s">
        <v>4</v>
      </c>
      <c r="Q1" s="542"/>
      <c r="R1" s="543"/>
      <c r="S1" s="129" t="s">
        <v>5</v>
      </c>
      <c r="T1" s="129" t="s">
        <v>6</v>
      </c>
      <c r="U1" s="130" t="s">
        <v>7</v>
      </c>
      <c r="V1" s="131" t="s">
        <v>8</v>
      </c>
      <c r="W1" s="131" t="s">
        <v>9</v>
      </c>
      <c r="X1" s="132" t="s">
        <v>10</v>
      </c>
      <c r="Y1" s="544" t="s">
        <v>11</v>
      </c>
      <c r="Z1" s="545"/>
      <c r="AA1" s="545"/>
      <c r="AB1" s="546"/>
      <c r="AC1" s="544" t="s">
        <v>12</v>
      </c>
      <c r="AD1" s="545"/>
      <c r="AE1" s="545"/>
      <c r="AF1" s="546"/>
      <c r="AG1" s="544" t="s">
        <v>13</v>
      </c>
      <c r="AH1" s="545"/>
      <c r="AI1" s="545"/>
      <c r="AJ1" s="546"/>
      <c r="AK1" s="544" t="s">
        <v>14</v>
      </c>
      <c r="AL1" s="545"/>
      <c r="AM1" s="545"/>
      <c r="AN1" s="546"/>
      <c r="AP1" s="534" t="s">
        <v>195</v>
      </c>
      <c r="AQ1" s="534"/>
    </row>
    <row r="2" spans="1:43" ht="17" thickBot="1" x14ac:dyDescent="0.25">
      <c r="A2" s="133" t="s">
        <v>15</v>
      </c>
      <c r="B2" s="134" t="s">
        <v>16</v>
      </c>
      <c r="C2" s="135" t="s">
        <v>17</v>
      </c>
      <c r="D2" s="135" t="s">
        <v>18</v>
      </c>
      <c r="E2" s="136" t="s">
        <v>19</v>
      </c>
      <c r="F2" s="136" t="s">
        <v>20</v>
      </c>
      <c r="G2" s="136" t="s">
        <v>21</v>
      </c>
      <c r="H2" s="137" t="s">
        <v>22</v>
      </c>
      <c r="I2" s="137" t="s">
        <v>23</v>
      </c>
      <c r="J2" s="137" t="s">
        <v>24</v>
      </c>
      <c r="K2" s="137" t="s">
        <v>25</v>
      </c>
      <c r="L2" s="137" t="s">
        <v>26</v>
      </c>
      <c r="M2" s="137" t="s">
        <v>27</v>
      </c>
      <c r="N2" s="137" t="s">
        <v>28</v>
      </c>
      <c r="O2" s="137" t="s">
        <v>19</v>
      </c>
      <c r="P2" s="137" t="s">
        <v>22</v>
      </c>
      <c r="Q2" s="137" t="s">
        <v>23</v>
      </c>
      <c r="R2" s="137" t="s">
        <v>24</v>
      </c>
      <c r="S2" s="138"/>
      <c r="T2" s="139"/>
      <c r="U2" s="140"/>
      <c r="V2" s="138"/>
      <c r="W2" s="141"/>
      <c r="X2" s="142"/>
      <c r="Y2" s="143" t="s">
        <v>29</v>
      </c>
      <c r="Z2" s="143" t="s">
        <v>30</v>
      </c>
      <c r="AA2" s="143" t="s">
        <v>26</v>
      </c>
      <c r="AB2" s="143" t="s">
        <v>31</v>
      </c>
      <c r="AC2" s="143" t="s">
        <v>29</v>
      </c>
      <c r="AD2" s="143" t="s">
        <v>30</v>
      </c>
      <c r="AE2" s="143" t="s">
        <v>26</v>
      </c>
      <c r="AF2" s="143" t="s">
        <v>31</v>
      </c>
      <c r="AG2" s="143" t="s">
        <v>29</v>
      </c>
      <c r="AH2" s="143" t="s">
        <v>30</v>
      </c>
      <c r="AI2" s="143" t="s">
        <v>26</v>
      </c>
      <c r="AJ2" s="143" t="s">
        <v>31</v>
      </c>
      <c r="AK2" s="143" t="s">
        <v>29</v>
      </c>
      <c r="AL2" s="143" t="s">
        <v>30</v>
      </c>
      <c r="AM2" s="143" t="s">
        <v>26</v>
      </c>
      <c r="AN2" s="144" t="s">
        <v>31</v>
      </c>
      <c r="AP2" s="333" t="s">
        <v>187</v>
      </c>
      <c r="AQ2" s="329">
        <f>Y20+56</f>
        <v>72</v>
      </c>
    </row>
    <row r="3" spans="1:43" ht="17" thickBot="1" x14ac:dyDescent="0.25">
      <c r="A3" s="66" t="s">
        <v>45</v>
      </c>
      <c r="B3" s="67" t="s">
        <v>44</v>
      </c>
      <c r="C3" s="68" t="s">
        <v>51</v>
      </c>
      <c r="D3" s="69" t="s">
        <v>47</v>
      </c>
      <c r="E3" s="69" t="s">
        <v>31</v>
      </c>
      <c r="F3" s="69">
        <v>29</v>
      </c>
      <c r="G3" s="70">
        <v>32</v>
      </c>
      <c r="H3" s="71">
        <v>1</v>
      </c>
      <c r="I3" s="72">
        <v>1</v>
      </c>
      <c r="J3" s="72">
        <v>4</v>
      </c>
      <c r="K3" s="72">
        <v>3</v>
      </c>
      <c r="L3" s="72">
        <v>0</v>
      </c>
      <c r="M3" s="72">
        <v>1</v>
      </c>
      <c r="N3" s="72">
        <v>4</v>
      </c>
      <c r="O3" s="72">
        <v>0</v>
      </c>
      <c r="P3" s="72">
        <v>1</v>
      </c>
      <c r="Q3" s="72">
        <v>0</v>
      </c>
      <c r="R3" s="72">
        <v>4</v>
      </c>
      <c r="S3" s="73"/>
      <c r="T3" s="84" t="s">
        <v>227</v>
      </c>
      <c r="U3" s="75" t="s">
        <v>214</v>
      </c>
      <c r="V3" s="76" t="s">
        <v>204</v>
      </c>
      <c r="W3" s="77" t="s">
        <v>215</v>
      </c>
      <c r="X3" s="76" t="s">
        <v>216</v>
      </c>
      <c r="Y3" s="76">
        <v>1</v>
      </c>
      <c r="Z3" s="76">
        <v>0</v>
      </c>
      <c r="AA3" s="76">
        <v>0</v>
      </c>
      <c r="AB3" s="78">
        <v>1</v>
      </c>
      <c r="AC3" s="76">
        <v>1</v>
      </c>
      <c r="AD3" s="76">
        <v>0</v>
      </c>
      <c r="AE3" s="76">
        <v>0</v>
      </c>
      <c r="AF3" s="78">
        <v>1</v>
      </c>
      <c r="AG3" s="76"/>
      <c r="AH3" s="76"/>
      <c r="AI3" s="76"/>
      <c r="AJ3" s="78"/>
      <c r="AK3" s="76"/>
      <c r="AL3" s="76"/>
      <c r="AM3" s="76"/>
      <c r="AN3" s="78"/>
      <c r="AP3" s="333" t="s">
        <v>188</v>
      </c>
      <c r="AQ3" s="329">
        <f>Z20+30</f>
        <v>35</v>
      </c>
    </row>
    <row r="4" spans="1:43" ht="17" thickBot="1" x14ac:dyDescent="0.25">
      <c r="A4" s="66" t="s">
        <v>91</v>
      </c>
      <c r="B4" s="67" t="s">
        <v>44</v>
      </c>
      <c r="C4" s="68" t="s">
        <v>61</v>
      </c>
      <c r="D4" s="69" t="s">
        <v>47</v>
      </c>
      <c r="E4" s="69" t="s">
        <v>31</v>
      </c>
      <c r="F4" s="69">
        <v>12</v>
      </c>
      <c r="G4" s="70">
        <v>27</v>
      </c>
      <c r="H4" s="71">
        <v>0</v>
      </c>
      <c r="I4" s="72">
        <v>0</v>
      </c>
      <c r="J4" s="72">
        <v>2</v>
      </c>
      <c r="K4" s="69">
        <v>1</v>
      </c>
      <c r="L4" s="72">
        <v>0</v>
      </c>
      <c r="M4" s="69">
        <v>0</v>
      </c>
      <c r="N4" s="72">
        <v>0</v>
      </c>
      <c r="O4" s="72">
        <v>0</v>
      </c>
      <c r="P4" s="72">
        <v>0</v>
      </c>
      <c r="Q4" s="69">
        <v>0</v>
      </c>
      <c r="R4" s="72">
        <v>3</v>
      </c>
      <c r="S4" s="73"/>
      <c r="T4" s="74" t="s">
        <v>261</v>
      </c>
      <c r="U4" s="75" t="s">
        <v>199</v>
      </c>
      <c r="V4" s="76" t="s">
        <v>206</v>
      </c>
      <c r="W4" s="76" t="s">
        <v>212</v>
      </c>
      <c r="X4" s="77" t="s">
        <v>262</v>
      </c>
      <c r="Y4" s="76">
        <v>1</v>
      </c>
      <c r="Z4" s="76">
        <v>0</v>
      </c>
      <c r="AA4" s="76">
        <v>0</v>
      </c>
      <c r="AB4" s="78">
        <v>1</v>
      </c>
      <c r="AC4" s="76">
        <v>1</v>
      </c>
      <c r="AD4" s="76">
        <v>0</v>
      </c>
      <c r="AE4" s="76">
        <v>0</v>
      </c>
      <c r="AF4" s="78">
        <v>1</v>
      </c>
      <c r="AG4" s="76"/>
      <c r="AH4" s="76"/>
      <c r="AI4" s="76"/>
      <c r="AJ4" s="78"/>
      <c r="AK4" s="76"/>
      <c r="AL4" s="76"/>
      <c r="AM4" s="76"/>
      <c r="AN4" s="78"/>
      <c r="AP4" s="333" t="s">
        <v>189</v>
      </c>
      <c r="AQ4" s="329">
        <f>AA20+1</f>
        <v>2</v>
      </c>
    </row>
    <row r="5" spans="1:43" ht="17" thickBot="1" x14ac:dyDescent="0.25">
      <c r="A5" s="1" t="s">
        <v>50</v>
      </c>
      <c r="B5" s="2" t="s">
        <v>44</v>
      </c>
      <c r="C5" s="3" t="s">
        <v>66</v>
      </c>
      <c r="D5" s="4" t="s">
        <v>21</v>
      </c>
      <c r="E5" s="4" t="s">
        <v>31</v>
      </c>
      <c r="F5" s="4">
        <v>18</v>
      </c>
      <c r="G5" s="5">
        <v>19</v>
      </c>
      <c r="H5" s="65">
        <v>0</v>
      </c>
      <c r="I5" s="5">
        <v>1</v>
      </c>
      <c r="J5" s="7">
        <v>2</v>
      </c>
      <c r="K5" s="7">
        <v>1</v>
      </c>
      <c r="L5" s="7">
        <v>0</v>
      </c>
      <c r="M5" s="7">
        <v>2</v>
      </c>
      <c r="N5" s="7">
        <v>1</v>
      </c>
      <c r="O5" s="7">
        <v>0</v>
      </c>
      <c r="P5" s="4">
        <v>0</v>
      </c>
      <c r="Q5" s="7">
        <v>0</v>
      </c>
      <c r="R5" s="4">
        <v>1</v>
      </c>
      <c r="S5" s="8"/>
      <c r="T5" s="19" t="s">
        <v>282</v>
      </c>
      <c r="U5" s="10" t="s">
        <v>201</v>
      </c>
      <c r="V5" s="11" t="s">
        <v>206</v>
      </c>
      <c r="W5" s="11" t="s">
        <v>199</v>
      </c>
      <c r="X5" s="12" t="s">
        <v>281</v>
      </c>
      <c r="Y5" s="11">
        <v>1</v>
      </c>
      <c r="Z5" s="11">
        <v>0</v>
      </c>
      <c r="AA5" s="11">
        <v>0</v>
      </c>
      <c r="AB5" s="13">
        <v>1</v>
      </c>
      <c r="AC5" s="11"/>
      <c r="AD5" s="11"/>
      <c r="AE5" s="11"/>
      <c r="AF5" s="13"/>
      <c r="AG5" s="11">
        <v>1</v>
      </c>
      <c r="AH5" s="11">
        <v>0</v>
      </c>
      <c r="AI5" s="11">
        <v>0</v>
      </c>
      <c r="AJ5" s="13">
        <v>1</v>
      </c>
      <c r="AK5" s="11"/>
      <c r="AL5" s="11"/>
      <c r="AM5" s="11"/>
      <c r="AN5" s="13"/>
      <c r="AP5" s="333" t="s">
        <v>190</v>
      </c>
      <c r="AQ5" s="329">
        <f>AB20+25</f>
        <v>35</v>
      </c>
    </row>
    <row r="6" spans="1:43" ht="17" thickBot="1" x14ac:dyDescent="0.25">
      <c r="A6" s="66" t="s">
        <v>82</v>
      </c>
      <c r="B6" s="67" t="s">
        <v>44</v>
      </c>
      <c r="C6" s="68" t="s">
        <v>55</v>
      </c>
      <c r="D6" s="69" t="s">
        <v>47</v>
      </c>
      <c r="E6" s="69" t="s">
        <v>30</v>
      </c>
      <c r="F6" s="69">
        <v>36</v>
      </c>
      <c r="G6" s="70">
        <v>32</v>
      </c>
      <c r="H6" s="70">
        <v>1</v>
      </c>
      <c r="I6" s="72">
        <v>0</v>
      </c>
      <c r="J6" s="69">
        <v>5</v>
      </c>
      <c r="K6" s="69">
        <v>4</v>
      </c>
      <c r="L6" s="72">
        <v>0</v>
      </c>
      <c r="M6" s="72">
        <v>1</v>
      </c>
      <c r="N6" s="72">
        <v>2</v>
      </c>
      <c r="O6" s="72">
        <v>0</v>
      </c>
      <c r="P6" s="72">
        <v>1</v>
      </c>
      <c r="Q6" s="69">
        <v>1</v>
      </c>
      <c r="R6" s="72">
        <v>5</v>
      </c>
      <c r="S6" s="73"/>
      <c r="T6" s="80" t="s">
        <v>308</v>
      </c>
      <c r="U6" s="76" t="s">
        <v>254</v>
      </c>
      <c r="V6" s="76" t="s">
        <v>297</v>
      </c>
      <c r="W6" s="76" t="s">
        <v>213</v>
      </c>
      <c r="X6" s="75" t="s">
        <v>262</v>
      </c>
      <c r="Y6" s="76">
        <v>1</v>
      </c>
      <c r="Z6" s="76">
        <v>1</v>
      </c>
      <c r="AA6" s="76">
        <v>0</v>
      </c>
      <c r="AB6" s="78">
        <v>0</v>
      </c>
      <c r="AC6" s="76">
        <v>1</v>
      </c>
      <c r="AD6" s="76">
        <v>1</v>
      </c>
      <c r="AE6" s="76">
        <v>0</v>
      </c>
      <c r="AF6" s="78">
        <v>0</v>
      </c>
      <c r="AG6" s="76"/>
      <c r="AH6" s="76"/>
      <c r="AI6" s="76"/>
      <c r="AJ6" s="78"/>
      <c r="AK6" s="76"/>
      <c r="AL6" s="76"/>
      <c r="AM6" s="76"/>
      <c r="AN6" s="78"/>
      <c r="AP6" s="333" t="s">
        <v>191</v>
      </c>
      <c r="AQ6" s="329">
        <f>F20+1405</f>
        <v>1772</v>
      </c>
    </row>
    <row r="7" spans="1:43" ht="17" thickBot="1" x14ac:dyDescent="0.25">
      <c r="A7" s="1" t="s">
        <v>54</v>
      </c>
      <c r="B7" s="2" t="s">
        <v>44</v>
      </c>
      <c r="C7" s="3" t="s">
        <v>53</v>
      </c>
      <c r="D7" s="4" t="s">
        <v>21</v>
      </c>
      <c r="E7" s="7" t="s">
        <v>26</v>
      </c>
      <c r="F7" s="4">
        <v>22</v>
      </c>
      <c r="G7" s="5">
        <v>22</v>
      </c>
      <c r="H7" s="6">
        <v>1</v>
      </c>
      <c r="I7" s="4">
        <v>0</v>
      </c>
      <c r="J7" s="7">
        <v>4</v>
      </c>
      <c r="K7" s="7">
        <v>1</v>
      </c>
      <c r="L7" s="7">
        <v>0</v>
      </c>
      <c r="M7" s="7">
        <v>0</v>
      </c>
      <c r="N7" s="7">
        <v>4</v>
      </c>
      <c r="O7" s="7">
        <v>1</v>
      </c>
      <c r="P7" s="7">
        <v>0</v>
      </c>
      <c r="Q7" s="7">
        <v>0</v>
      </c>
      <c r="R7" s="7">
        <v>3</v>
      </c>
      <c r="S7" s="8"/>
      <c r="T7" s="9" t="s">
        <v>252</v>
      </c>
      <c r="U7" s="10" t="s">
        <v>249</v>
      </c>
      <c r="V7" s="11" t="s">
        <v>207</v>
      </c>
      <c r="W7" s="11" t="s">
        <v>254</v>
      </c>
      <c r="X7" s="12" t="s">
        <v>273</v>
      </c>
      <c r="Y7" s="11">
        <v>1</v>
      </c>
      <c r="Z7" s="11">
        <v>0</v>
      </c>
      <c r="AA7" s="11">
        <v>1</v>
      </c>
      <c r="AB7" s="13">
        <v>0</v>
      </c>
      <c r="AC7" s="11"/>
      <c r="AD7" s="11"/>
      <c r="AE7" s="11"/>
      <c r="AF7" s="13"/>
      <c r="AG7" s="11">
        <v>1</v>
      </c>
      <c r="AH7" s="11">
        <v>0</v>
      </c>
      <c r="AI7" s="11">
        <v>1</v>
      </c>
      <c r="AJ7" s="13">
        <v>0</v>
      </c>
      <c r="AK7" s="11"/>
      <c r="AL7" s="11"/>
      <c r="AM7" s="11"/>
      <c r="AN7" s="13"/>
      <c r="AP7" s="333" t="s">
        <v>192</v>
      </c>
      <c r="AQ7" s="329">
        <f>G20+1274</f>
        <v>1747</v>
      </c>
    </row>
    <row r="8" spans="1:43" ht="17" thickBot="1" x14ac:dyDescent="0.25">
      <c r="A8" s="66" t="s">
        <v>56</v>
      </c>
      <c r="B8" s="67" t="s">
        <v>44</v>
      </c>
      <c r="C8" s="68" t="s">
        <v>60</v>
      </c>
      <c r="D8" s="69" t="s">
        <v>47</v>
      </c>
      <c r="E8" s="72" t="s">
        <v>31</v>
      </c>
      <c r="F8" s="69">
        <v>5</v>
      </c>
      <c r="G8" s="70">
        <v>36</v>
      </c>
      <c r="H8" s="71">
        <v>0</v>
      </c>
      <c r="I8" s="69">
        <v>0</v>
      </c>
      <c r="J8" s="72">
        <v>1</v>
      </c>
      <c r="K8" s="72">
        <v>0</v>
      </c>
      <c r="L8" s="72">
        <v>0</v>
      </c>
      <c r="M8" s="72">
        <v>0</v>
      </c>
      <c r="N8" s="72">
        <v>1</v>
      </c>
      <c r="O8" s="72">
        <v>0</v>
      </c>
      <c r="P8" s="69">
        <v>1</v>
      </c>
      <c r="Q8" s="72">
        <v>0</v>
      </c>
      <c r="R8" s="72">
        <v>5</v>
      </c>
      <c r="S8" s="73"/>
      <c r="T8" s="74" t="s">
        <v>340</v>
      </c>
      <c r="U8" s="75" t="s">
        <v>294</v>
      </c>
      <c r="V8" s="76" t="s">
        <v>337</v>
      </c>
      <c r="W8" s="76" t="s">
        <v>212</v>
      </c>
      <c r="X8" s="77" t="s">
        <v>216</v>
      </c>
      <c r="Y8" s="76">
        <v>1</v>
      </c>
      <c r="Z8" s="76">
        <v>0</v>
      </c>
      <c r="AA8" s="76">
        <v>0</v>
      </c>
      <c r="AB8" s="78">
        <v>1</v>
      </c>
      <c r="AC8" s="76">
        <v>1</v>
      </c>
      <c r="AD8" s="76">
        <v>0</v>
      </c>
      <c r="AE8" s="76">
        <v>0</v>
      </c>
      <c r="AF8" s="78">
        <v>1</v>
      </c>
      <c r="AG8" s="76"/>
      <c r="AH8" s="76"/>
      <c r="AI8" s="76"/>
      <c r="AJ8" s="78"/>
      <c r="AK8" s="76"/>
      <c r="AL8" s="76"/>
      <c r="AM8" s="76"/>
      <c r="AN8" s="78"/>
      <c r="AP8" s="333" t="s">
        <v>193</v>
      </c>
      <c r="AQ8" s="329">
        <f>J20+188</f>
        <v>242</v>
      </c>
    </row>
    <row r="9" spans="1:43" ht="17" thickBot="1" x14ac:dyDescent="0.25">
      <c r="A9" s="1" t="s">
        <v>84</v>
      </c>
      <c r="B9" s="2" t="s">
        <v>44</v>
      </c>
      <c r="C9" s="3" t="s">
        <v>57</v>
      </c>
      <c r="D9" s="4" t="s">
        <v>21</v>
      </c>
      <c r="E9" s="7" t="s">
        <v>31</v>
      </c>
      <c r="F9" s="4">
        <v>31</v>
      </c>
      <c r="G9" s="5">
        <v>54</v>
      </c>
      <c r="H9" s="6">
        <v>1</v>
      </c>
      <c r="I9" s="7">
        <v>0</v>
      </c>
      <c r="J9" s="7">
        <v>5</v>
      </c>
      <c r="K9" s="7">
        <v>1</v>
      </c>
      <c r="L9" s="7">
        <v>0</v>
      </c>
      <c r="M9" s="7">
        <v>0</v>
      </c>
      <c r="N9" s="7">
        <v>1</v>
      </c>
      <c r="O9" s="7">
        <v>0</v>
      </c>
      <c r="P9" s="7">
        <v>1</v>
      </c>
      <c r="Q9" s="7">
        <v>0</v>
      </c>
      <c r="R9" s="7">
        <v>8</v>
      </c>
      <c r="S9" s="8"/>
      <c r="T9" s="9" t="s">
        <v>321</v>
      </c>
      <c r="U9" s="10" t="s">
        <v>212</v>
      </c>
      <c r="V9" s="11" t="s">
        <v>337</v>
      </c>
      <c r="W9" s="11" t="s">
        <v>254</v>
      </c>
      <c r="X9" s="12" t="s">
        <v>346</v>
      </c>
      <c r="Y9" s="11">
        <v>1</v>
      </c>
      <c r="Z9" s="11">
        <v>0</v>
      </c>
      <c r="AA9" s="11">
        <v>0</v>
      </c>
      <c r="AB9" s="13">
        <v>1</v>
      </c>
      <c r="AC9" s="11"/>
      <c r="AD9" s="11"/>
      <c r="AE9" s="11"/>
      <c r="AF9" s="13"/>
      <c r="AG9" s="11">
        <v>1</v>
      </c>
      <c r="AH9" s="11">
        <v>0</v>
      </c>
      <c r="AI9" s="11">
        <v>0</v>
      </c>
      <c r="AJ9" s="13">
        <v>1</v>
      </c>
      <c r="AK9" s="11"/>
      <c r="AL9" s="11"/>
      <c r="AM9" s="11"/>
      <c r="AN9" s="13"/>
      <c r="AP9" s="333" t="s">
        <v>194</v>
      </c>
      <c r="AQ9" s="329">
        <f>R20+160</f>
        <v>227</v>
      </c>
    </row>
    <row r="10" spans="1:43" ht="17" thickBot="1" x14ac:dyDescent="0.25">
      <c r="A10" s="66" t="s">
        <v>93</v>
      </c>
      <c r="B10" s="67" t="s">
        <v>44</v>
      </c>
      <c r="C10" s="68" t="s">
        <v>46</v>
      </c>
      <c r="D10" s="69" t="s">
        <v>47</v>
      </c>
      <c r="E10" s="69" t="s">
        <v>31</v>
      </c>
      <c r="F10" s="69">
        <v>12</v>
      </c>
      <c r="G10" s="70">
        <v>34</v>
      </c>
      <c r="H10" s="71">
        <v>0</v>
      </c>
      <c r="I10" s="72">
        <v>0</v>
      </c>
      <c r="J10" s="72">
        <v>2</v>
      </c>
      <c r="K10" s="72">
        <v>1</v>
      </c>
      <c r="L10" s="72">
        <v>0</v>
      </c>
      <c r="M10" s="72">
        <v>0</v>
      </c>
      <c r="N10" s="69">
        <v>1</v>
      </c>
      <c r="O10" s="72">
        <v>0</v>
      </c>
      <c r="P10" s="72">
        <v>1</v>
      </c>
      <c r="Q10" s="69">
        <v>0</v>
      </c>
      <c r="R10" s="72">
        <v>5</v>
      </c>
      <c r="S10" s="73"/>
      <c r="T10" s="74" t="s">
        <v>365</v>
      </c>
      <c r="U10" s="75" t="s">
        <v>201</v>
      </c>
      <c r="V10" s="76" t="s">
        <v>206</v>
      </c>
      <c r="W10" s="76" t="s">
        <v>202</v>
      </c>
      <c r="X10" s="77" t="s">
        <v>262</v>
      </c>
      <c r="Y10" s="76">
        <v>1</v>
      </c>
      <c r="Z10" s="76">
        <v>0</v>
      </c>
      <c r="AA10" s="76">
        <v>0</v>
      </c>
      <c r="AB10" s="78">
        <v>1</v>
      </c>
      <c r="AC10" s="76">
        <v>1</v>
      </c>
      <c r="AD10" s="76">
        <v>0</v>
      </c>
      <c r="AE10" s="76">
        <v>0</v>
      </c>
      <c r="AF10" s="78">
        <v>1</v>
      </c>
      <c r="AG10" s="76"/>
      <c r="AH10" s="76"/>
      <c r="AI10" s="76"/>
      <c r="AJ10" s="78"/>
      <c r="AK10" s="76"/>
      <c r="AL10" s="76"/>
      <c r="AM10" s="76"/>
      <c r="AN10" s="78"/>
    </row>
    <row r="11" spans="1:43" ht="17" thickBot="1" x14ac:dyDescent="0.25">
      <c r="A11" s="1" t="s">
        <v>36</v>
      </c>
      <c r="B11" s="2" t="s">
        <v>44</v>
      </c>
      <c r="C11" s="3" t="s">
        <v>51</v>
      </c>
      <c r="D11" s="4" t="s">
        <v>21</v>
      </c>
      <c r="E11" s="4" t="s">
        <v>30</v>
      </c>
      <c r="F11" s="4">
        <v>29</v>
      </c>
      <c r="G11" s="5">
        <v>26</v>
      </c>
      <c r="H11" s="6">
        <v>1</v>
      </c>
      <c r="I11" s="7">
        <v>0</v>
      </c>
      <c r="J11" s="7">
        <v>4</v>
      </c>
      <c r="K11" s="7">
        <v>3</v>
      </c>
      <c r="L11" s="7">
        <v>0</v>
      </c>
      <c r="M11" s="7">
        <v>1</v>
      </c>
      <c r="N11" s="7">
        <v>0</v>
      </c>
      <c r="O11" s="7">
        <v>1</v>
      </c>
      <c r="P11" s="7">
        <v>1</v>
      </c>
      <c r="Q11" s="4">
        <v>1</v>
      </c>
      <c r="R11" s="7">
        <v>4</v>
      </c>
      <c r="S11" s="8"/>
      <c r="T11" s="15" t="s">
        <v>393</v>
      </c>
      <c r="U11" s="10" t="s">
        <v>215</v>
      </c>
      <c r="V11" s="11" t="s">
        <v>214</v>
      </c>
      <c r="W11" s="11" t="s">
        <v>208</v>
      </c>
      <c r="X11" s="12" t="s">
        <v>387</v>
      </c>
      <c r="Y11" s="11">
        <v>1</v>
      </c>
      <c r="Z11" s="11">
        <v>1</v>
      </c>
      <c r="AA11" s="11">
        <v>0</v>
      </c>
      <c r="AB11" s="13">
        <v>0</v>
      </c>
      <c r="AC11" s="11"/>
      <c r="AD11" s="11"/>
      <c r="AE11" s="11"/>
      <c r="AF11" s="13"/>
      <c r="AG11" s="11">
        <v>1</v>
      </c>
      <c r="AH11" s="11">
        <v>1</v>
      </c>
      <c r="AI11" s="11">
        <v>0</v>
      </c>
      <c r="AJ11" s="13">
        <v>0</v>
      </c>
      <c r="AK11" s="11"/>
      <c r="AL11" s="11"/>
      <c r="AM11" s="11"/>
      <c r="AN11" s="13"/>
      <c r="AP11" s="332" t="s">
        <v>196</v>
      </c>
    </row>
    <row r="12" spans="1:43" ht="17" thickBot="1" x14ac:dyDescent="0.25">
      <c r="A12" s="16" t="s">
        <v>62</v>
      </c>
      <c r="B12" s="2" t="s">
        <v>44</v>
      </c>
      <c r="C12" s="3" t="s">
        <v>83</v>
      </c>
      <c r="D12" s="4" t="s">
        <v>21</v>
      </c>
      <c r="E12" s="4" t="s">
        <v>30</v>
      </c>
      <c r="F12" s="4">
        <v>33</v>
      </c>
      <c r="G12" s="5">
        <v>29</v>
      </c>
      <c r="H12" s="6">
        <v>1</v>
      </c>
      <c r="I12" s="7">
        <v>0</v>
      </c>
      <c r="J12" s="7">
        <v>4</v>
      </c>
      <c r="K12" s="7">
        <v>2</v>
      </c>
      <c r="L12" s="7">
        <v>0</v>
      </c>
      <c r="M12" s="7">
        <v>3</v>
      </c>
      <c r="N12" s="4">
        <v>1</v>
      </c>
      <c r="O12" s="7">
        <v>0</v>
      </c>
      <c r="P12" s="7">
        <v>1</v>
      </c>
      <c r="Q12" s="7">
        <v>1</v>
      </c>
      <c r="R12" s="7">
        <v>4</v>
      </c>
      <c r="S12" s="17"/>
      <c r="T12" s="15" t="s">
        <v>405</v>
      </c>
      <c r="U12" s="10" t="s">
        <v>258</v>
      </c>
      <c r="V12" s="11" t="s">
        <v>276</v>
      </c>
      <c r="W12" s="11" t="s">
        <v>356</v>
      </c>
      <c r="X12" s="12" t="s">
        <v>284</v>
      </c>
      <c r="Y12" s="11">
        <v>1</v>
      </c>
      <c r="Z12" s="11">
        <v>1</v>
      </c>
      <c r="AA12" s="11">
        <v>0</v>
      </c>
      <c r="AB12" s="13">
        <v>0</v>
      </c>
      <c r="AC12" s="11"/>
      <c r="AD12" s="11"/>
      <c r="AE12" s="11"/>
      <c r="AF12" s="13"/>
      <c r="AG12" s="11">
        <v>1</v>
      </c>
      <c r="AH12" s="11">
        <v>1</v>
      </c>
      <c r="AI12" s="11">
        <v>0</v>
      </c>
      <c r="AJ12" s="13">
        <v>0</v>
      </c>
      <c r="AK12" s="11"/>
      <c r="AL12" s="11"/>
      <c r="AM12" s="11"/>
      <c r="AN12" s="13"/>
    </row>
    <row r="13" spans="1:43" ht="17" thickBot="1" x14ac:dyDescent="0.25">
      <c r="A13" s="81" t="s">
        <v>86</v>
      </c>
      <c r="B13" s="67" t="s">
        <v>44</v>
      </c>
      <c r="C13" s="68" t="s">
        <v>66</v>
      </c>
      <c r="D13" s="69" t="s">
        <v>47</v>
      </c>
      <c r="E13" s="69" t="s">
        <v>31</v>
      </c>
      <c r="F13" s="69">
        <v>19</v>
      </c>
      <c r="G13" s="70">
        <v>27</v>
      </c>
      <c r="H13" s="71">
        <v>0</v>
      </c>
      <c r="I13" s="72">
        <v>0</v>
      </c>
      <c r="J13" s="72">
        <v>3</v>
      </c>
      <c r="K13" s="72">
        <v>1</v>
      </c>
      <c r="L13" s="72">
        <v>0</v>
      </c>
      <c r="M13" s="72">
        <v>0</v>
      </c>
      <c r="N13" s="72">
        <v>0</v>
      </c>
      <c r="O13" s="72">
        <v>0</v>
      </c>
      <c r="P13" s="72">
        <v>1</v>
      </c>
      <c r="Q13" s="72">
        <v>0</v>
      </c>
      <c r="R13" s="72">
        <v>4</v>
      </c>
      <c r="S13" s="82"/>
      <c r="T13" s="84" t="s">
        <v>418</v>
      </c>
      <c r="U13" s="75" t="s">
        <v>205</v>
      </c>
      <c r="V13" s="76" t="s">
        <v>297</v>
      </c>
      <c r="W13" s="76" t="s">
        <v>213</v>
      </c>
      <c r="X13" s="77" t="s">
        <v>216</v>
      </c>
      <c r="Y13" s="76">
        <v>1</v>
      </c>
      <c r="Z13" s="76">
        <v>0</v>
      </c>
      <c r="AA13" s="76">
        <v>0</v>
      </c>
      <c r="AB13" s="78">
        <v>1</v>
      </c>
      <c r="AC13" s="76">
        <v>1</v>
      </c>
      <c r="AD13" s="76">
        <v>0</v>
      </c>
      <c r="AE13" s="76">
        <v>0</v>
      </c>
      <c r="AF13" s="78">
        <v>1</v>
      </c>
      <c r="AG13" s="76"/>
      <c r="AH13" s="76"/>
      <c r="AI13" s="76"/>
      <c r="AJ13" s="78"/>
      <c r="AK13" s="76"/>
      <c r="AL13" s="76"/>
      <c r="AM13" s="76"/>
      <c r="AN13" s="78"/>
    </row>
    <row r="14" spans="1:43" ht="17" thickBot="1" x14ac:dyDescent="0.25">
      <c r="A14" s="81" t="s">
        <v>64</v>
      </c>
      <c r="B14" s="67" t="s">
        <v>44</v>
      </c>
      <c r="C14" s="68" t="s">
        <v>52</v>
      </c>
      <c r="D14" s="69" t="s">
        <v>47</v>
      </c>
      <c r="E14" s="69" t="s">
        <v>30</v>
      </c>
      <c r="F14" s="69">
        <v>45</v>
      </c>
      <c r="G14" s="70">
        <v>15</v>
      </c>
      <c r="H14" s="71">
        <v>1</v>
      </c>
      <c r="I14" s="72">
        <v>0</v>
      </c>
      <c r="J14" s="72">
        <v>6</v>
      </c>
      <c r="K14" s="72">
        <v>6</v>
      </c>
      <c r="L14" s="72">
        <v>0</v>
      </c>
      <c r="M14" s="72">
        <v>1</v>
      </c>
      <c r="N14" s="72">
        <v>1</v>
      </c>
      <c r="O14" s="72">
        <v>0</v>
      </c>
      <c r="P14" s="72">
        <v>0</v>
      </c>
      <c r="Q14" s="72">
        <v>0</v>
      </c>
      <c r="R14" s="72">
        <v>3</v>
      </c>
      <c r="S14" s="82"/>
      <c r="T14" s="386" t="s">
        <v>425</v>
      </c>
      <c r="U14" s="75" t="s">
        <v>410</v>
      </c>
      <c r="V14" s="76" t="s">
        <v>204</v>
      </c>
      <c r="W14" s="76" t="s">
        <v>281</v>
      </c>
      <c r="X14" s="77" t="s">
        <v>213</v>
      </c>
      <c r="Y14" s="76">
        <v>1</v>
      </c>
      <c r="Z14" s="76">
        <v>1</v>
      </c>
      <c r="AA14" s="76">
        <v>0</v>
      </c>
      <c r="AB14" s="78">
        <v>0</v>
      </c>
      <c r="AC14" s="76">
        <v>1</v>
      </c>
      <c r="AD14" s="76">
        <v>1</v>
      </c>
      <c r="AE14" s="76">
        <v>0</v>
      </c>
      <c r="AF14" s="78">
        <v>0</v>
      </c>
      <c r="AG14" s="76"/>
      <c r="AH14" s="76"/>
      <c r="AI14" s="76"/>
      <c r="AJ14" s="78"/>
      <c r="AK14" s="76"/>
      <c r="AL14" s="76"/>
      <c r="AM14" s="76"/>
      <c r="AN14" s="78"/>
    </row>
    <row r="15" spans="1:43" ht="17" thickBot="1" x14ac:dyDescent="0.25">
      <c r="A15" s="16" t="s">
        <v>65</v>
      </c>
      <c r="B15" s="2" t="s">
        <v>44</v>
      </c>
      <c r="C15" s="3" t="s">
        <v>61</v>
      </c>
      <c r="D15" s="4" t="s">
        <v>21</v>
      </c>
      <c r="E15" s="4" t="s">
        <v>31</v>
      </c>
      <c r="F15" s="4">
        <v>12</v>
      </c>
      <c r="G15" s="5">
        <v>29</v>
      </c>
      <c r="H15" s="6">
        <v>0</v>
      </c>
      <c r="I15" s="7">
        <v>0</v>
      </c>
      <c r="J15" s="7">
        <v>2</v>
      </c>
      <c r="K15" s="7">
        <v>1</v>
      </c>
      <c r="L15" s="7">
        <v>0</v>
      </c>
      <c r="M15" s="7">
        <v>0</v>
      </c>
      <c r="N15" s="7">
        <v>3</v>
      </c>
      <c r="O15" s="7">
        <v>1</v>
      </c>
      <c r="P15" s="7">
        <v>1</v>
      </c>
      <c r="Q15" s="7">
        <v>0</v>
      </c>
      <c r="R15" s="7">
        <v>4</v>
      </c>
      <c r="S15" s="17"/>
      <c r="T15" s="9" t="s">
        <v>433</v>
      </c>
      <c r="U15" s="10" t="s">
        <v>197</v>
      </c>
      <c r="V15" s="11" t="s">
        <v>297</v>
      </c>
      <c r="W15" s="11" t="s">
        <v>249</v>
      </c>
      <c r="X15" s="12" t="s">
        <v>203</v>
      </c>
      <c r="Y15" s="11">
        <v>1</v>
      </c>
      <c r="Z15" s="11">
        <v>0</v>
      </c>
      <c r="AA15" s="11">
        <v>0</v>
      </c>
      <c r="AB15" s="13">
        <v>1</v>
      </c>
      <c r="AC15" s="11"/>
      <c r="AD15" s="11"/>
      <c r="AE15" s="11"/>
      <c r="AF15" s="13"/>
      <c r="AG15" s="11">
        <v>1</v>
      </c>
      <c r="AH15" s="11">
        <v>0</v>
      </c>
      <c r="AI15" s="11">
        <v>0</v>
      </c>
      <c r="AJ15" s="13">
        <v>1</v>
      </c>
      <c r="AK15" s="11"/>
      <c r="AL15" s="11"/>
      <c r="AM15" s="11"/>
      <c r="AN15" s="13"/>
    </row>
    <row r="16" spans="1:43" ht="17" thickBot="1" x14ac:dyDescent="0.25">
      <c r="A16" s="81" t="s">
        <v>88</v>
      </c>
      <c r="B16" s="67" t="s">
        <v>44</v>
      </c>
      <c r="C16" s="68" t="s">
        <v>49</v>
      </c>
      <c r="D16" s="69" t="s">
        <v>47</v>
      </c>
      <c r="E16" s="69" t="s">
        <v>31</v>
      </c>
      <c r="F16" s="69">
        <v>21</v>
      </c>
      <c r="G16" s="70">
        <v>38</v>
      </c>
      <c r="H16" s="71">
        <v>0</v>
      </c>
      <c r="I16" s="72">
        <v>0</v>
      </c>
      <c r="J16" s="72">
        <v>3</v>
      </c>
      <c r="K16" s="72">
        <v>3</v>
      </c>
      <c r="L16" s="72">
        <v>0</v>
      </c>
      <c r="M16" s="72">
        <v>0</v>
      </c>
      <c r="N16" s="72">
        <v>0</v>
      </c>
      <c r="O16" s="72">
        <v>0</v>
      </c>
      <c r="P16" s="72">
        <v>1</v>
      </c>
      <c r="Q16" s="72">
        <v>0</v>
      </c>
      <c r="R16" s="72">
        <v>6</v>
      </c>
      <c r="S16" s="82"/>
      <c r="T16" s="84" t="s">
        <v>263</v>
      </c>
      <c r="U16" s="75" t="s">
        <v>214</v>
      </c>
      <c r="V16" s="76" t="s">
        <v>242</v>
      </c>
      <c r="W16" s="76" t="s">
        <v>215</v>
      </c>
      <c r="X16" s="76" t="s">
        <v>216</v>
      </c>
      <c r="Y16" s="76">
        <v>1</v>
      </c>
      <c r="Z16" s="76">
        <v>0</v>
      </c>
      <c r="AA16" s="76">
        <v>0</v>
      </c>
      <c r="AB16" s="78">
        <v>1</v>
      </c>
      <c r="AC16" s="76">
        <v>1</v>
      </c>
      <c r="AD16" s="76">
        <v>0</v>
      </c>
      <c r="AE16" s="76">
        <v>0</v>
      </c>
      <c r="AF16" s="78">
        <v>1</v>
      </c>
      <c r="AG16" s="76"/>
      <c r="AH16" s="76"/>
      <c r="AI16" s="76"/>
      <c r="AJ16" s="78"/>
      <c r="AK16" s="76"/>
      <c r="AL16" s="76"/>
      <c r="AM16" s="76"/>
      <c r="AN16" s="78"/>
    </row>
    <row r="17" spans="1:40" ht="17" thickBot="1" x14ac:dyDescent="0.25">
      <c r="A17" s="16" t="s">
        <v>68</v>
      </c>
      <c r="B17" s="2" t="s">
        <v>44</v>
      </c>
      <c r="C17" s="3" t="s">
        <v>60</v>
      </c>
      <c r="D17" s="4" t="s">
        <v>21</v>
      </c>
      <c r="E17" s="4" t="s">
        <v>31</v>
      </c>
      <c r="F17" s="4">
        <v>12</v>
      </c>
      <c r="G17" s="5">
        <v>29</v>
      </c>
      <c r="H17" s="6">
        <v>0</v>
      </c>
      <c r="I17" s="7">
        <v>0</v>
      </c>
      <c r="J17" s="7">
        <v>2</v>
      </c>
      <c r="K17" s="7">
        <v>1</v>
      </c>
      <c r="L17" s="7">
        <v>0</v>
      </c>
      <c r="M17" s="7">
        <v>0</v>
      </c>
      <c r="N17" s="4">
        <v>2</v>
      </c>
      <c r="O17" s="7">
        <v>0</v>
      </c>
      <c r="P17" s="7">
        <v>1</v>
      </c>
      <c r="Q17" s="7">
        <v>0</v>
      </c>
      <c r="R17" s="7">
        <v>4</v>
      </c>
      <c r="S17" s="8"/>
      <c r="T17" s="9" t="s">
        <v>462</v>
      </c>
      <c r="U17" s="11" t="s">
        <v>201</v>
      </c>
      <c r="V17" s="11" t="s">
        <v>207</v>
      </c>
      <c r="W17" s="11" t="s">
        <v>206</v>
      </c>
      <c r="X17" s="11" t="s">
        <v>455</v>
      </c>
      <c r="Y17" s="11">
        <v>1</v>
      </c>
      <c r="Z17" s="11">
        <v>0</v>
      </c>
      <c r="AA17" s="11">
        <v>0</v>
      </c>
      <c r="AB17" s="13">
        <v>1</v>
      </c>
      <c r="AC17" s="11"/>
      <c r="AD17" s="11"/>
      <c r="AE17" s="11"/>
      <c r="AF17" s="13"/>
      <c r="AG17" s="11">
        <v>1</v>
      </c>
      <c r="AH17" s="11">
        <v>0</v>
      </c>
      <c r="AI17" s="11">
        <v>0</v>
      </c>
      <c r="AJ17" s="13">
        <v>1</v>
      </c>
      <c r="AK17" s="11"/>
      <c r="AL17" s="11"/>
      <c r="AM17" s="11"/>
      <c r="AN17" s="13"/>
    </row>
    <row r="18" spans="1:40" ht="17" thickBot="1" x14ac:dyDescent="0.25">
      <c r="A18" s="16" t="s">
        <v>89</v>
      </c>
      <c r="B18" s="2" t="s">
        <v>44</v>
      </c>
      <c r="C18" s="20" t="s">
        <v>55</v>
      </c>
      <c r="D18" s="21" t="s">
        <v>21</v>
      </c>
      <c r="E18" s="21" t="s">
        <v>30</v>
      </c>
      <c r="F18" s="22">
        <v>31</v>
      </c>
      <c r="G18" s="23">
        <v>24</v>
      </c>
      <c r="H18" s="24">
        <v>1</v>
      </c>
      <c r="I18" s="25">
        <v>0</v>
      </c>
      <c r="J18" s="25">
        <v>5</v>
      </c>
      <c r="K18" s="25">
        <v>3</v>
      </c>
      <c r="L18" s="25">
        <v>0</v>
      </c>
      <c r="M18" s="25">
        <v>0</v>
      </c>
      <c r="N18" s="25">
        <v>1</v>
      </c>
      <c r="O18" s="25">
        <v>0</v>
      </c>
      <c r="P18" s="25">
        <v>1</v>
      </c>
      <c r="Q18" s="25">
        <v>1</v>
      </c>
      <c r="R18" s="25">
        <v>4</v>
      </c>
      <c r="S18" s="26"/>
      <c r="T18" s="15" t="s">
        <v>432</v>
      </c>
      <c r="U18" s="28" t="s">
        <v>245</v>
      </c>
      <c r="V18" s="28" t="s">
        <v>337</v>
      </c>
      <c r="W18" s="28" t="s">
        <v>206</v>
      </c>
      <c r="X18" s="29" t="s">
        <v>251</v>
      </c>
      <c r="Y18" s="28">
        <v>1</v>
      </c>
      <c r="Z18" s="28">
        <v>1</v>
      </c>
      <c r="AA18" s="28">
        <v>0</v>
      </c>
      <c r="AB18" s="30">
        <v>0</v>
      </c>
      <c r="AC18" s="28"/>
      <c r="AD18" s="28"/>
      <c r="AE18" s="28"/>
      <c r="AF18" s="30"/>
      <c r="AG18" s="28">
        <v>1</v>
      </c>
      <c r="AH18" s="28">
        <v>1</v>
      </c>
      <c r="AI18" s="28">
        <v>0</v>
      </c>
      <c r="AJ18" s="30">
        <v>0</v>
      </c>
      <c r="AK18" s="28"/>
      <c r="AL18" s="28"/>
      <c r="AM18" s="28"/>
      <c r="AN18" s="30"/>
    </row>
    <row r="19" spans="1:40" ht="17" thickBot="1" x14ac:dyDescent="0.25">
      <c r="A19" s="33"/>
      <c r="B19" s="34"/>
      <c r="C19" s="425" t="s">
        <v>40</v>
      </c>
      <c r="D19" s="426"/>
      <c r="E19" s="427"/>
      <c r="F19" s="38">
        <f t="shared" ref="F19:R19" si="0">SUM(F3+F4+F5+F6+F7+F8+F9+F10+F11+F12+F13+F14+F15+F16+F17+F18)</f>
        <v>367</v>
      </c>
      <c r="G19" s="38">
        <f t="shared" si="0"/>
        <v>473</v>
      </c>
      <c r="H19" s="38">
        <f t="shared" si="0"/>
        <v>8</v>
      </c>
      <c r="I19" s="38">
        <f t="shared" si="0"/>
        <v>2</v>
      </c>
      <c r="J19" s="38">
        <f t="shared" si="0"/>
        <v>54</v>
      </c>
      <c r="K19" s="38">
        <f t="shared" si="0"/>
        <v>32</v>
      </c>
      <c r="L19" s="38">
        <f t="shared" si="0"/>
        <v>0</v>
      </c>
      <c r="M19" s="38">
        <f t="shared" si="0"/>
        <v>9</v>
      </c>
      <c r="N19" s="38">
        <f t="shared" si="0"/>
        <v>22</v>
      </c>
      <c r="O19" s="38">
        <f t="shared" si="0"/>
        <v>3</v>
      </c>
      <c r="P19" s="38">
        <f t="shared" si="0"/>
        <v>12</v>
      </c>
      <c r="Q19" s="38">
        <f t="shared" si="0"/>
        <v>4</v>
      </c>
      <c r="R19" s="38">
        <f t="shared" si="0"/>
        <v>67</v>
      </c>
      <c r="S19" s="39"/>
      <c r="T19" s="39"/>
      <c r="U19" s="39"/>
      <c r="V19" s="39"/>
      <c r="W19" s="40"/>
      <c r="X19" s="41" t="s">
        <v>40</v>
      </c>
      <c r="Y19" s="38">
        <f t="shared" ref="Y19:AN19" si="1">Y3+Y4+Y5+Y6+Y7+Y8+Y9+Y10+Y11+Y12+Y13+Y14+Y15+Y16+Y17+Y18</f>
        <v>16</v>
      </c>
      <c r="Z19" s="38">
        <f t="shared" si="1"/>
        <v>5</v>
      </c>
      <c r="AA19" s="38">
        <f t="shared" si="1"/>
        <v>1</v>
      </c>
      <c r="AB19" s="38">
        <f t="shared" si="1"/>
        <v>10</v>
      </c>
      <c r="AC19" s="32">
        <f t="shared" si="1"/>
        <v>8</v>
      </c>
      <c r="AD19" s="32">
        <f t="shared" si="1"/>
        <v>2</v>
      </c>
      <c r="AE19" s="32">
        <f t="shared" si="1"/>
        <v>0</v>
      </c>
      <c r="AF19" s="32">
        <f t="shared" si="1"/>
        <v>6</v>
      </c>
      <c r="AG19" s="31">
        <f t="shared" si="1"/>
        <v>8</v>
      </c>
      <c r="AH19" s="31">
        <f t="shared" si="1"/>
        <v>3</v>
      </c>
      <c r="AI19" s="31">
        <f t="shared" si="1"/>
        <v>1</v>
      </c>
      <c r="AJ19" s="31">
        <f t="shared" si="1"/>
        <v>4</v>
      </c>
      <c r="AK19" s="38">
        <f t="shared" si="1"/>
        <v>0</v>
      </c>
      <c r="AL19" s="38">
        <f t="shared" si="1"/>
        <v>0</v>
      </c>
      <c r="AM19" s="38">
        <f t="shared" si="1"/>
        <v>0</v>
      </c>
      <c r="AN19" s="38">
        <f t="shared" si="1"/>
        <v>0</v>
      </c>
    </row>
    <row r="20" spans="1:40" ht="17" thickBot="1" x14ac:dyDescent="0.25">
      <c r="A20" s="33"/>
      <c r="B20" s="34"/>
      <c r="C20" s="425" t="s">
        <v>42</v>
      </c>
      <c r="D20" s="431"/>
      <c r="E20" s="432"/>
      <c r="F20" s="42">
        <f>F19</f>
        <v>367</v>
      </c>
      <c r="G20" s="42">
        <f t="shared" ref="G20:R20" si="2">G19</f>
        <v>473</v>
      </c>
      <c r="H20" s="42">
        <f t="shared" si="2"/>
        <v>8</v>
      </c>
      <c r="I20" s="42">
        <f t="shared" si="2"/>
        <v>2</v>
      </c>
      <c r="J20" s="42">
        <f t="shared" si="2"/>
        <v>54</v>
      </c>
      <c r="K20" s="42">
        <f t="shared" si="2"/>
        <v>32</v>
      </c>
      <c r="L20" s="42">
        <f t="shared" si="2"/>
        <v>0</v>
      </c>
      <c r="M20" s="42">
        <f t="shared" si="2"/>
        <v>9</v>
      </c>
      <c r="N20" s="42">
        <f t="shared" si="2"/>
        <v>22</v>
      </c>
      <c r="O20" s="42">
        <f t="shared" si="2"/>
        <v>3</v>
      </c>
      <c r="P20" s="42">
        <f t="shared" si="2"/>
        <v>12</v>
      </c>
      <c r="Q20" s="42">
        <f t="shared" si="2"/>
        <v>4</v>
      </c>
      <c r="R20" s="42">
        <f t="shared" si="2"/>
        <v>67</v>
      </c>
      <c r="S20" s="39"/>
      <c r="T20" s="39"/>
      <c r="U20" s="39"/>
      <c r="V20" s="39"/>
      <c r="W20" s="40"/>
      <c r="X20" s="41" t="s">
        <v>42</v>
      </c>
      <c r="Y20" s="38">
        <f>Y19</f>
        <v>16</v>
      </c>
      <c r="Z20" s="38">
        <f t="shared" ref="Z20:AN20" si="3">Z19</f>
        <v>5</v>
      </c>
      <c r="AA20" s="38">
        <f t="shared" si="3"/>
        <v>1</v>
      </c>
      <c r="AB20" s="38">
        <f t="shared" si="3"/>
        <v>10</v>
      </c>
      <c r="AC20" s="32">
        <f t="shared" si="3"/>
        <v>8</v>
      </c>
      <c r="AD20" s="32">
        <f t="shared" si="3"/>
        <v>2</v>
      </c>
      <c r="AE20" s="32">
        <f t="shared" si="3"/>
        <v>0</v>
      </c>
      <c r="AF20" s="32">
        <f t="shared" si="3"/>
        <v>6</v>
      </c>
      <c r="AG20" s="31">
        <f t="shared" si="3"/>
        <v>8</v>
      </c>
      <c r="AH20" s="31">
        <f t="shared" si="3"/>
        <v>3</v>
      </c>
      <c r="AI20" s="31">
        <f t="shared" si="3"/>
        <v>1</v>
      </c>
      <c r="AJ20" s="31">
        <f t="shared" si="3"/>
        <v>4</v>
      </c>
      <c r="AK20" s="38">
        <f t="shared" si="3"/>
        <v>0</v>
      </c>
      <c r="AL20" s="38">
        <f t="shared" si="3"/>
        <v>0</v>
      </c>
      <c r="AM20" s="38">
        <f t="shared" si="3"/>
        <v>0</v>
      </c>
      <c r="AN20" s="38">
        <f t="shared" si="3"/>
        <v>0</v>
      </c>
    </row>
    <row r="22" spans="1:40" x14ac:dyDescent="0.2">
      <c r="A22" s="178" t="s">
        <v>429</v>
      </c>
    </row>
  </sheetData>
  <mergeCells count="13">
    <mergeCell ref="AP1:AQ1"/>
    <mergeCell ref="C20:E20"/>
    <mergeCell ref="A1:D1"/>
    <mergeCell ref="E1:G1"/>
    <mergeCell ref="H1:I1"/>
    <mergeCell ref="J1:M1"/>
    <mergeCell ref="Y1:AB1"/>
    <mergeCell ref="AC1:AF1"/>
    <mergeCell ref="AG1:AJ1"/>
    <mergeCell ref="AK1:AN1"/>
    <mergeCell ref="C19:E19"/>
    <mergeCell ref="N1:O1"/>
    <mergeCell ref="P1:R1"/>
  </mergeCells>
  <pageMargins left="0.7" right="0.7" top="0.75" bottom="0.75" header="0.3" footer="0.3"/>
  <ignoredErrors>
    <ignoredError sqref="T4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168</vt:i4>
      </vt:variant>
    </vt:vector>
  </HeadingPairs>
  <TitlesOfParts>
    <vt:vector size="184" baseType="lpstr">
      <vt:lpstr>Anthem</vt:lpstr>
      <vt:lpstr>Chicago</vt:lpstr>
      <vt:lpstr>Dallas</vt:lpstr>
      <vt:lpstr>Houston</vt:lpstr>
      <vt:lpstr>Miami</vt:lpstr>
      <vt:lpstr>New England</vt:lpstr>
      <vt:lpstr>NOLA</vt:lpstr>
      <vt:lpstr>Old Glory</vt:lpstr>
      <vt:lpstr>Los Angeles</vt:lpstr>
      <vt:lpstr>San Diego</vt:lpstr>
      <vt:lpstr>Seattle</vt:lpstr>
      <vt:lpstr>Utah</vt:lpstr>
      <vt:lpstr>Results</vt:lpstr>
      <vt:lpstr>Stats</vt:lpstr>
      <vt:lpstr>Tables</vt:lpstr>
      <vt:lpstr>Cards</vt:lpstr>
      <vt:lpstr>antdrawn</vt:lpstr>
      <vt:lpstr>antlosingbonusconceded</vt:lpstr>
      <vt:lpstr>antlosingbonusscored</vt:lpstr>
      <vt:lpstr>antlost</vt:lpstr>
      <vt:lpstr>antplayed</vt:lpstr>
      <vt:lpstr>antpointsconceded</vt:lpstr>
      <vt:lpstr>antpointsscored</vt:lpstr>
      <vt:lpstr>antredcards</vt:lpstr>
      <vt:lpstr>anttriesconceded</vt:lpstr>
      <vt:lpstr>anttriesscored</vt:lpstr>
      <vt:lpstr>anttrybonusconceded</vt:lpstr>
      <vt:lpstr>anttrybonusscored</vt:lpstr>
      <vt:lpstr>antwon</vt:lpstr>
      <vt:lpstr>antyellowcards</vt:lpstr>
      <vt:lpstr>chidrawn</vt:lpstr>
      <vt:lpstr>chilosingbonusconceded</vt:lpstr>
      <vt:lpstr>chilosingbonusscored</vt:lpstr>
      <vt:lpstr>chilost</vt:lpstr>
      <vt:lpstr>chiplayed</vt:lpstr>
      <vt:lpstr>chipointsconceded</vt:lpstr>
      <vt:lpstr>chipointsscored</vt:lpstr>
      <vt:lpstr>chiredcards</vt:lpstr>
      <vt:lpstr>chitriesconceded</vt:lpstr>
      <vt:lpstr>chitriesscored</vt:lpstr>
      <vt:lpstr>chitrybonusconceded</vt:lpstr>
      <vt:lpstr>chitrybonusscored</vt:lpstr>
      <vt:lpstr>chiwon</vt:lpstr>
      <vt:lpstr>chiyellowcards</vt:lpstr>
      <vt:lpstr>daldrawn</vt:lpstr>
      <vt:lpstr>dallosingbonusconceded</vt:lpstr>
      <vt:lpstr>dallosingbonusscored</vt:lpstr>
      <vt:lpstr>dallost</vt:lpstr>
      <vt:lpstr>dalplayed</vt:lpstr>
      <vt:lpstr>dalpointsconceded</vt:lpstr>
      <vt:lpstr>dalpointsscored</vt:lpstr>
      <vt:lpstr>dalredcards</vt:lpstr>
      <vt:lpstr>daltriesconceded</vt:lpstr>
      <vt:lpstr>daltriesscored</vt:lpstr>
      <vt:lpstr>daltrybonusconceded</vt:lpstr>
      <vt:lpstr>daltrybonusscored</vt:lpstr>
      <vt:lpstr>dalwon</vt:lpstr>
      <vt:lpstr>dalyellowcards</vt:lpstr>
      <vt:lpstr>houdrawn</vt:lpstr>
      <vt:lpstr>houlosingbonusconceded</vt:lpstr>
      <vt:lpstr>houlosingbonusscored</vt:lpstr>
      <vt:lpstr>houlost</vt:lpstr>
      <vt:lpstr>houplayed</vt:lpstr>
      <vt:lpstr>houpointsconceded</vt:lpstr>
      <vt:lpstr>houpointsscored</vt:lpstr>
      <vt:lpstr>houredcards</vt:lpstr>
      <vt:lpstr>houtriesconceded</vt:lpstr>
      <vt:lpstr>houtriesscored</vt:lpstr>
      <vt:lpstr>houtrybonusconceded</vt:lpstr>
      <vt:lpstr>houtrybonusscored</vt:lpstr>
      <vt:lpstr>houwon</vt:lpstr>
      <vt:lpstr>houyellowcards</vt:lpstr>
      <vt:lpstr>ladrawn</vt:lpstr>
      <vt:lpstr>lalosingbonusconceded</vt:lpstr>
      <vt:lpstr>lalosingbonusscored</vt:lpstr>
      <vt:lpstr>lalost</vt:lpstr>
      <vt:lpstr>laplayed</vt:lpstr>
      <vt:lpstr>lapointsconceded</vt:lpstr>
      <vt:lpstr>lapointsscored</vt:lpstr>
      <vt:lpstr>laredcards</vt:lpstr>
      <vt:lpstr>latriesconceded</vt:lpstr>
      <vt:lpstr>latriesscored</vt:lpstr>
      <vt:lpstr>latrybonusconceded</vt:lpstr>
      <vt:lpstr>latrybonusscored</vt:lpstr>
      <vt:lpstr>lawon</vt:lpstr>
      <vt:lpstr>layellowcards</vt:lpstr>
      <vt:lpstr>miadrawn</vt:lpstr>
      <vt:lpstr>mialosingbonusconceded</vt:lpstr>
      <vt:lpstr>mialosingbonusscored</vt:lpstr>
      <vt:lpstr>mialost</vt:lpstr>
      <vt:lpstr>miaplayed</vt:lpstr>
      <vt:lpstr>miapointsconceded</vt:lpstr>
      <vt:lpstr>miapointsscored</vt:lpstr>
      <vt:lpstr>miaredcards</vt:lpstr>
      <vt:lpstr>miatriesconceded</vt:lpstr>
      <vt:lpstr>miatriesscored</vt:lpstr>
      <vt:lpstr>miatrybonusconceded</vt:lpstr>
      <vt:lpstr>miatrybonusscored</vt:lpstr>
      <vt:lpstr>miawon</vt:lpstr>
      <vt:lpstr>miayellowcards</vt:lpstr>
      <vt:lpstr>newdrawn</vt:lpstr>
      <vt:lpstr>newlosingbonusconceded</vt:lpstr>
      <vt:lpstr>newlosingbonusscored</vt:lpstr>
      <vt:lpstr>newlost</vt:lpstr>
      <vt:lpstr>newplayed</vt:lpstr>
      <vt:lpstr>newpointsconceded</vt:lpstr>
      <vt:lpstr>newpointsscored</vt:lpstr>
      <vt:lpstr>newredcards</vt:lpstr>
      <vt:lpstr>newtriesconceded</vt:lpstr>
      <vt:lpstr>newtriesscored</vt:lpstr>
      <vt:lpstr>newtrybonusconceded</vt:lpstr>
      <vt:lpstr>newtrybonusscored</vt:lpstr>
      <vt:lpstr>newwon</vt:lpstr>
      <vt:lpstr>newyellowcards</vt:lpstr>
      <vt:lpstr>noladrawn</vt:lpstr>
      <vt:lpstr>nolalosingbonusconceded</vt:lpstr>
      <vt:lpstr>nolalosingbonusscored</vt:lpstr>
      <vt:lpstr>nolalost</vt:lpstr>
      <vt:lpstr>nolaplayed</vt:lpstr>
      <vt:lpstr>nolapointsconceded</vt:lpstr>
      <vt:lpstr>nolapointsscored</vt:lpstr>
      <vt:lpstr>nolaredcards</vt:lpstr>
      <vt:lpstr>nolatriesconceded</vt:lpstr>
      <vt:lpstr>nolatriesscored</vt:lpstr>
      <vt:lpstr>nolatrybonusconceded</vt:lpstr>
      <vt:lpstr>nolatrybonusscored</vt:lpstr>
      <vt:lpstr>nolawon</vt:lpstr>
      <vt:lpstr>nolayellowcards</vt:lpstr>
      <vt:lpstr>ogdcdrawn</vt:lpstr>
      <vt:lpstr>ogdclosingbonusconceded</vt:lpstr>
      <vt:lpstr>ogdclosingbonusscored</vt:lpstr>
      <vt:lpstr>ogdclost</vt:lpstr>
      <vt:lpstr>ogdcplayed</vt:lpstr>
      <vt:lpstr>ogdcpointsconceded</vt:lpstr>
      <vt:lpstr>ogdcpointsscored</vt:lpstr>
      <vt:lpstr>ogdcredcards</vt:lpstr>
      <vt:lpstr>ogdctriesconceded</vt:lpstr>
      <vt:lpstr>ogdctriesscored</vt:lpstr>
      <vt:lpstr>ogdctrybonusconceded</vt:lpstr>
      <vt:lpstr>ogdctrybonusscored</vt:lpstr>
      <vt:lpstr>ogdcwon</vt:lpstr>
      <vt:lpstr>ogdcyellowcards</vt:lpstr>
      <vt:lpstr>sdldrawn</vt:lpstr>
      <vt:lpstr>sdllosingbonusconceded</vt:lpstr>
      <vt:lpstr>sdllosingbonusscored</vt:lpstr>
      <vt:lpstr>sdllost</vt:lpstr>
      <vt:lpstr>sdlplayed</vt:lpstr>
      <vt:lpstr>sdlpointsconceded</vt:lpstr>
      <vt:lpstr>sdlpointsscored</vt:lpstr>
      <vt:lpstr>sdlredcards</vt:lpstr>
      <vt:lpstr>sdltriesconceded</vt:lpstr>
      <vt:lpstr>sdltriesscored</vt:lpstr>
      <vt:lpstr>sdltrybonusconceded</vt:lpstr>
      <vt:lpstr>sdltrybonusscored</vt:lpstr>
      <vt:lpstr>sdlwon</vt:lpstr>
      <vt:lpstr>sdlyellowcards</vt:lpstr>
      <vt:lpstr>seadrawn</vt:lpstr>
      <vt:lpstr>sealosingbonusconceded</vt:lpstr>
      <vt:lpstr>sealosingbonusscored</vt:lpstr>
      <vt:lpstr>sealost</vt:lpstr>
      <vt:lpstr>seaplayed</vt:lpstr>
      <vt:lpstr>seapointsconceded</vt:lpstr>
      <vt:lpstr>seapointsscored</vt:lpstr>
      <vt:lpstr>searedcards</vt:lpstr>
      <vt:lpstr>seatriesconceded</vt:lpstr>
      <vt:lpstr>seatriesscored</vt:lpstr>
      <vt:lpstr>seatrybonusconceded</vt:lpstr>
      <vt:lpstr>seatrybonusscored</vt:lpstr>
      <vt:lpstr>seawon</vt:lpstr>
      <vt:lpstr>seayellowcards</vt:lpstr>
      <vt:lpstr>utadrawn</vt:lpstr>
      <vt:lpstr>utalosingbonusconceded</vt:lpstr>
      <vt:lpstr>utalosingbonusscored</vt:lpstr>
      <vt:lpstr>utalost</vt:lpstr>
      <vt:lpstr>utaplayed</vt:lpstr>
      <vt:lpstr>utapointsconceded</vt:lpstr>
      <vt:lpstr>utapointsscored</vt:lpstr>
      <vt:lpstr>utaredcards</vt:lpstr>
      <vt:lpstr>utatriesconceded</vt:lpstr>
      <vt:lpstr>utatriesscored</vt:lpstr>
      <vt:lpstr>utatrybonusconceded</vt:lpstr>
      <vt:lpstr>utatrybonusscored</vt:lpstr>
      <vt:lpstr>utawon</vt:lpstr>
      <vt:lpstr>utayellowcards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Whatmore</dc:creator>
  <cp:lastModifiedBy>Mike Whatmore</cp:lastModifiedBy>
  <dcterms:created xsi:type="dcterms:W3CDTF">2024-02-05T09:08:13Z</dcterms:created>
  <dcterms:modified xsi:type="dcterms:W3CDTF">2024-08-06T07:07:55Z</dcterms:modified>
</cp:coreProperties>
</file>